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ary\Documents\Budget-local schools\LSB FY 2023\Analyses\"/>
    </mc:Choice>
  </mc:AlternateContent>
  <xr:revisionPtr revIDLastSave="0" documentId="13_ncr:1_{05C79337-C36C-446D-ACA0-733E21D5F9C7}" xr6:coauthVersionLast="47" xr6:coauthVersionMax="47" xr10:uidLastSave="{00000000-0000-0000-0000-000000000000}"/>
  <bookViews>
    <workbookView xWindow="8295" yWindow="2385" windowWidth="19305" windowHeight="12690" xr2:uid="{6DF9943D-F688-4C0F-A64E-1041A2A0EDCA}"/>
  </bookViews>
  <sheets>
    <sheet name="Est gen ed 23 $$" sheetId="6" r:id="rId1"/>
    <sheet name="Est gen ed 23 pos" sheetId="7" r:id="rId2"/>
    <sheet name="PosxSchpostCouncil 22" sheetId="5" r:id="rId3"/>
    <sheet name="$$xSchpostCouncil 22" sheetId="1" r:id="rId4"/>
    <sheet name="Gen ed tchrs" sheetId="3" r:id="rId5"/>
    <sheet name="Prog grants" sheetId="2" r:id="rId6"/>
    <sheet name="ArtsHPE" sheetId="4" r:id="rId7"/>
  </sheets>
  <externalReferences>
    <externalReference r:id="rId8"/>
    <externalReference r:id="rId9"/>
    <externalReference r:id="rId10"/>
  </externalReferences>
  <definedNames>
    <definedName name="_xlnm._FilterDatabase" localSheetId="3">'$$xSchpostCouncil 22'!$A$3:$CB$126</definedName>
    <definedName name="_xlnm._FilterDatabase" localSheetId="0" hidden="1">'Est gen ed 23 $$'!$A$1:$DF$126</definedName>
    <definedName name="_xlnm._FilterDatabase" localSheetId="1" hidden="1">'Est gen ed 23 pos'!$A$1:$DD$123</definedName>
    <definedName name="_xlnm._FilterDatabase" localSheetId="4" hidden="1">'Gen ed tchrs'!$A$1:$V$118</definedName>
    <definedName name="_xlnm._FilterDatabase" localSheetId="2">'PosxSchpostCouncil 22'!$A$3:$CB$126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18" i="3" l="1"/>
  <c r="W118" i="3"/>
  <c r="T118" i="3"/>
  <c r="S118" i="3"/>
  <c r="P118" i="3"/>
  <c r="O118" i="3"/>
  <c r="M118" i="3"/>
  <c r="L118" i="3"/>
  <c r="E118" i="3"/>
  <c r="D118" i="3"/>
  <c r="DC121" i="6"/>
  <c r="DC120" i="6"/>
  <c r="DC119" i="6"/>
  <c r="DC118" i="6"/>
  <c r="DC117" i="6"/>
  <c r="DC116" i="6"/>
  <c r="DC115" i="6"/>
  <c r="DC114" i="6"/>
  <c r="DC113" i="6"/>
  <c r="DC112" i="6"/>
  <c r="DC111" i="6"/>
  <c r="DC110" i="6"/>
  <c r="DC109" i="6"/>
  <c r="DC108" i="6"/>
  <c r="DC107" i="6"/>
  <c r="DC106" i="6"/>
  <c r="DC105" i="6"/>
  <c r="DC104" i="6"/>
  <c r="DC103" i="6"/>
  <c r="DC102" i="6"/>
  <c r="DC101" i="6"/>
  <c r="DC100" i="6"/>
  <c r="DC99" i="6"/>
  <c r="DC98" i="6"/>
  <c r="DC97" i="6"/>
  <c r="DC96" i="6"/>
  <c r="DC95" i="6"/>
  <c r="DC94" i="6"/>
  <c r="DC93" i="6"/>
  <c r="DC92" i="6"/>
  <c r="DC91" i="6"/>
  <c r="DC90" i="6"/>
  <c r="DC89" i="6"/>
  <c r="DC88" i="6"/>
  <c r="DC87" i="6"/>
  <c r="DC86" i="6"/>
  <c r="DC85" i="6"/>
  <c r="DC84" i="6"/>
  <c r="DC83" i="6"/>
  <c r="DC82" i="6"/>
  <c r="DC81" i="6"/>
  <c r="DC80" i="6"/>
  <c r="DC79" i="6"/>
  <c r="DC78" i="6"/>
  <c r="DC77" i="6"/>
  <c r="DC76" i="6"/>
  <c r="DC75" i="6"/>
  <c r="DC74" i="6"/>
  <c r="DC73" i="6"/>
  <c r="DC72" i="6"/>
  <c r="DC71" i="6"/>
  <c r="DC70" i="6"/>
  <c r="DC69" i="6"/>
  <c r="DC68" i="6"/>
  <c r="DC67" i="6"/>
  <c r="DC66" i="6"/>
  <c r="DC65" i="6"/>
  <c r="DC64" i="6"/>
  <c r="DC63" i="6"/>
  <c r="DC62" i="6"/>
  <c r="DC61" i="6"/>
  <c r="DC60" i="6"/>
  <c r="DC59" i="6"/>
  <c r="DC58" i="6"/>
  <c r="DC57" i="6"/>
  <c r="DC56" i="6"/>
  <c r="DC55" i="6"/>
  <c r="DC54" i="6"/>
  <c r="DC53" i="6"/>
  <c r="DC52" i="6"/>
  <c r="DC51" i="6"/>
  <c r="DC50" i="6"/>
  <c r="DC49" i="6"/>
  <c r="DC48" i="6"/>
  <c r="DC47" i="6"/>
  <c r="DC46" i="6"/>
  <c r="DC45" i="6"/>
  <c r="DC44" i="6"/>
  <c r="DC43" i="6"/>
  <c r="DC42" i="6"/>
  <c r="DC41" i="6"/>
  <c r="DC40" i="6"/>
  <c r="DC39" i="6"/>
  <c r="DC38" i="6"/>
  <c r="DC37" i="6"/>
  <c r="DC36" i="6"/>
  <c r="DC35" i="6"/>
  <c r="DC34" i="6"/>
  <c r="DC33" i="6"/>
  <c r="DC32" i="6"/>
  <c r="DC31" i="6"/>
  <c r="DC30" i="6"/>
  <c r="DC29" i="6"/>
  <c r="DC28" i="6"/>
  <c r="DC27" i="6"/>
  <c r="DC26" i="6"/>
  <c r="DC25" i="6"/>
  <c r="DC24" i="6"/>
  <c r="DC23" i="6"/>
  <c r="DC22" i="6"/>
  <c r="DC21" i="6"/>
  <c r="DC20" i="6"/>
  <c r="DC19" i="6"/>
  <c r="DC18" i="6"/>
  <c r="DC17" i="6"/>
  <c r="DC16" i="6"/>
  <c r="DC15" i="6"/>
  <c r="DC14" i="6"/>
  <c r="DC13" i="6"/>
  <c r="DC12" i="6"/>
  <c r="DC11" i="6"/>
  <c r="DC10" i="6"/>
  <c r="DC9" i="6"/>
  <c r="DC8" i="6"/>
  <c r="DC7" i="6"/>
  <c r="DC6" i="6"/>
  <c r="CW122" i="6"/>
  <c r="CK122" i="6"/>
  <c r="CZ121" i="7"/>
  <c r="CZ120" i="7"/>
  <c r="CZ119" i="7"/>
  <c r="CZ118" i="7"/>
  <c r="CZ117" i="7"/>
  <c r="CZ116" i="7"/>
  <c r="CZ115" i="7"/>
  <c r="CZ114" i="7"/>
  <c r="CZ113" i="7"/>
  <c r="CZ112" i="7"/>
  <c r="CZ111" i="7"/>
  <c r="CZ110" i="7"/>
  <c r="CZ109" i="7"/>
  <c r="CZ108" i="7"/>
  <c r="CZ107" i="7"/>
  <c r="CZ106" i="7"/>
  <c r="CZ105" i="7"/>
  <c r="CZ104" i="7"/>
  <c r="CZ103" i="7"/>
  <c r="CZ102" i="7"/>
  <c r="CZ101" i="7"/>
  <c r="CZ100" i="7"/>
  <c r="CZ99" i="7"/>
  <c r="CZ98" i="7"/>
  <c r="CZ97" i="7"/>
  <c r="CZ96" i="7"/>
  <c r="CZ95" i="7"/>
  <c r="CZ94" i="7"/>
  <c r="CZ93" i="7"/>
  <c r="CZ92" i="7"/>
  <c r="CZ91" i="7"/>
  <c r="CZ90" i="7"/>
  <c r="CZ89" i="7"/>
  <c r="CZ88" i="7"/>
  <c r="CZ87" i="7"/>
  <c r="CZ86" i="7"/>
  <c r="CZ85" i="7"/>
  <c r="CZ84" i="7"/>
  <c r="CZ83" i="7"/>
  <c r="CZ82" i="7"/>
  <c r="CZ81" i="7"/>
  <c r="CZ80" i="7"/>
  <c r="CZ79" i="7"/>
  <c r="CZ78" i="7"/>
  <c r="CZ77" i="7"/>
  <c r="CZ76" i="7"/>
  <c r="CZ75" i="7"/>
  <c r="CZ74" i="7"/>
  <c r="CZ73" i="7"/>
  <c r="CZ72" i="7"/>
  <c r="CZ71" i="7"/>
  <c r="CZ70" i="7"/>
  <c r="CZ69" i="7"/>
  <c r="CZ68" i="7"/>
  <c r="CZ67" i="7"/>
  <c r="CZ66" i="7"/>
  <c r="CZ65" i="7"/>
  <c r="CZ64" i="7"/>
  <c r="CZ63" i="7"/>
  <c r="CZ62" i="7"/>
  <c r="CZ61" i="7"/>
  <c r="CZ60" i="7"/>
  <c r="CZ59" i="7"/>
  <c r="CZ58" i="7"/>
  <c r="CZ57" i="7"/>
  <c r="CZ56" i="7"/>
  <c r="CZ55" i="7"/>
  <c r="CZ54" i="7"/>
  <c r="CZ53" i="7"/>
  <c r="CZ52" i="7"/>
  <c r="CZ51" i="7"/>
  <c r="CZ50" i="7"/>
  <c r="CZ49" i="7"/>
  <c r="CZ48" i="7"/>
  <c r="CZ47" i="7"/>
  <c r="CZ46" i="7"/>
  <c r="CZ45" i="7"/>
  <c r="CZ44" i="7"/>
  <c r="CZ43" i="7"/>
  <c r="CZ42" i="7"/>
  <c r="CZ41" i="7"/>
  <c r="CZ40" i="7"/>
  <c r="CZ39" i="7"/>
  <c r="CZ38" i="7"/>
  <c r="CZ37" i="7"/>
  <c r="CZ36" i="7"/>
  <c r="CZ35" i="7"/>
  <c r="CZ34" i="7"/>
  <c r="CZ33" i="7"/>
  <c r="CZ32" i="7"/>
  <c r="CZ31" i="7"/>
  <c r="CZ30" i="7"/>
  <c r="CZ29" i="7"/>
  <c r="CZ28" i="7"/>
  <c r="CZ27" i="7"/>
  <c r="CZ26" i="7"/>
  <c r="CZ25" i="7"/>
  <c r="CZ24" i="7"/>
  <c r="CZ23" i="7"/>
  <c r="CZ22" i="7"/>
  <c r="CZ21" i="7"/>
  <c r="CZ20" i="7"/>
  <c r="CZ19" i="7"/>
  <c r="CZ18" i="7"/>
  <c r="CZ17" i="7"/>
  <c r="CZ16" i="7"/>
  <c r="CZ15" i="7"/>
  <c r="CZ14" i="7"/>
  <c r="CZ13" i="7"/>
  <c r="CZ12" i="7"/>
  <c r="CZ11" i="7"/>
  <c r="CZ10" i="7"/>
  <c r="CZ9" i="7"/>
  <c r="CZ8" i="7"/>
  <c r="CZ7" i="7"/>
  <c r="CZ6" i="7"/>
  <c r="CT121" i="7"/>
  <c r="CS121" i="7"/>
  <c r="CR121" i="7"/>
  <c r="CQ121" i="7"/>
  <c r="CK121" i="7"/>
  <c r="CT120" i="7"/>
  <c r="CS120" i="7"/>
  <c r="CR120" i="7"/>
  <c r="CQ120" i="7"/>
  <c r="CK120" i="7"/>
  <c r="CP119" i="7"/>
  <c r="CO119" i="7"/>
  <c r="CK119" i="7"/>
  <c r="CP118" i="7"/>
  <c r="CO118" i="7"/>
  <c r="CK118" i="7"/>
  <c r="CP117" i="7"/>
  <c r="CO117" i="7"/>
  <c r="CK117" i="7"/>
  <c r="CP116" i="7"/>
  <c r="CO116" i="7"/>
  <c r="CK116" i="7"/>
  <c r="CS115" i="7"/>
  <c r="CR115" i="7"/>
  <c r="CQ115" i="7"/>
  <c r="CP115" i="7"/>
  <c r="CO115" i="7"/>
  <c r="CK115" i="7"/>
  <c r="CP114" i="7"/>
  <c r="CO114" i="7"/>
  <c r="CK114" i="7"/>
  <c r="CP113" i="7"/>
  <c r="CO113" i="7"/>
  <c r="CK113" i="7"/>
  <c r="CP112" i="7"/>
  <c r="CO112" i="7"/>
  <c r="CK112" i="7"/>
  <c r="CP111" i="7"/>
  <c r="CO111" i="7"/>
  <c r="CK111" i="7"/>
  <c r="CP110" i="7"/>
  <c r="CO110" i="7"/>
  <c r="CK110" i="7"/>
  <c r="CP109" i="7"/>
  <c r="CO109" i="7"/>
  <c r="CL109" i="7"/>
  <c r="Y105" i="3" s="1"/>
  <c r="Z105" i="3" s="1"/>
  <c r="CV109" i="6" s="1"/>
  <c r="CK109" i="7"/>
  <c r="CP108" i="7"/>
  <c r="CO108" i="7"/>
  <c r="CL108" i="7"/>
  <c r="Y104" i="3" s="1"/>
  <c r="Z104" i="3" s="1"/>
  <c r="CV108" i="6" s="1"/>
  <c r="CK108" i="7"/>
  <c r="CP107" i="7"/>
  <c r="CO107" i="7"/>
  <c r="CK107" i="7"/>
  <c r="CT106" i="7"/>
  <c r="CS106" i="7"/>
  <c r="CR106" i="7"/>
  <c r="CQ106" i="7"/>
  <c r="CP106" i="7"/>
  <c r="CO106" i="7"/>
  <c r="CK106" i="7"/>
  <c r="CP105" i="7"/>
  <c r="CO105" i="7"/>
  <c r="CK105" i="7"/>
  <c r="CU104" i="7"/>
  <c r="CP104" i="7"/>
  <c r="CO104" i="7"/>
  <c r="CL104" i="7"/>
  <c r="Y100" i="3" s="1"/>
  <c r="Z100" i="3" s="1"/>
  <c r="CV104" i="6" s="1"/>
  <c r="CK104" i="7"/>
  <c r="CP103" i="7"/>
  <c r="CO103" i="7"/>
  <c r="CK103" i="7"/>
  <c r="CT102" i="7"/>
  <c r="CS102" i="7"/>
  <c r="CR102" i="7"/>
  <c r="CQ102" i="7"/>
  <c r="CP102" i="7"/>
  <c r="CO102" i="7"/>
  <c r="CK102" i="7"/>
  <c r="CP101" i="7"/>
  <c r="CO101" i="7"/>
  <c r="CL101" i="7"/>
  <c r="Y97" i="3" s="1"/>
  <c r="Z97" i="3" s="1"/>
  <c r="CV101" i="6" s="1"/>
  <c r="CK101" i="7"/>
  <c r="CP100" i="7"/>
  <c r="CO100" i="7"/>
  <c r="CL100" i="7"/>
  <c r="Y96" i="3" s="1"/>
  <c r="Z96" i="3" s="1"/>
  <c r="CV100" i="6" s="1"/>
  <c r="CK100" i="7"/>
  <c r="CP99" i="7"/>
  <c r="CO99" i="7"/>
  <c r="CK99" i="7"/>
  <c r="CP98" i="7"/>
  <c r="CO98" i="7"/>
  <c r="CK98" i="7"/>
  <c r="CP97" i="7"/>
  <c r="CO97" i="7"/>
  <c r="CK97" i="7"/>
  <c r="CT96" i="7"/>
  <c r="CS96" i="7"/>
  <c r="CR96" i="7"/>
  <c r="CQ96" i="7"/>
  <c r="CK96" i="7"/>
  <c r="CS95" i="7"/>
  <c r="CR95" i="7"/>
  <c r="CQ95" i="7"/>
  <c r="CP95" i="7"/>
  <c r="CO95" i="7"/>
  <c r="CK95" i="7"/>
  <c r="CP94" i="7"/>
  <c r="CO94" i="7"/>
  <c r="CL94" i="7"/>
  <c r="Y90" i="3" s="1"/>
  <c r="Z90" i="3" s="1"/>
  <c r="CV94" i="6" s="1"/>
  <c r="CK94" i="7"/>
  <c r="CP93" i="7"/>
  <c r="CO93" i="7"/>
  <c r="CL93" i="7"/>
  <c r="Y89" i="3" s="1"/>
  <c r="Z89" i="3" s="1"/>
  <c r="CV93" i="6" s="1"/>
  <c r="CK93" i="7"/>
  <c r="CT92" i="7"/>
  <c r="CS92" i="7"/>
  <c r="CR92" i="7"/>
  <c r="CQ92" i="7"/>
  <c r="CK92" i="7"/>
  <c r="CT91" i="7"/>
  <c r="CS91" i="7"/>
  <c r="CR91" i="7"/>
  <c r="CQ91" i="7"/>
  <c r="CK91" i="7"/>
  <c r="CT90" i="7"/>
  <c r="CS90" i="7"/>
  <c r="CR90" i="7"/>
  <c r="CQ90" i="7"/>
  <c r="CK90" i="7"/>
  <c r="CU89" i="7"/>
  <c r="CT89" i="7"/>
  <c r="CS89" i="7"/>
  <c r="CR89" i="7"/>
  <c r="CQ89" i="7"/>
  <c r="CP89" i="7"/>
  <c r="CO89" i="7"/>
  <c r="CL89" i="7"/>
  <c r="Y85" i="3" s="1"/>
  <c r="Z85" i="3" s="1"/>
  <c r="CV89" i="6" s="1"/>
  <c r="CK89" i="7"/>
  <c r="CP88" i="7"/>
  <c r="CO88" i="7"/>
  <c r="CK88" i="7"/>
  <c r="CP87" i="7"/>
  <c r="CO87" i="7"/>
  <c r="CK87" i="7"/>
  <c r="CP86" i="7"/>
  <c r="CO86" i="7"/>
  <c r="CK86" i="7"/>
  <c r="CP85" i="7"/>
  <c r="CO85" i="7"/>
  <c r="CL85" i="7"/>
  <c r="Y81" i="3" s="1"/>
  <c r="Z81" i="3" s="1"/>
  <c r="CV85" i="6" s="1"/>
  <c r="CK85" i="7"/>
  <c r="CT84" i="7"/>
  <c r="CS84" i="7"/>
  <c r="CR84" i="7"/>
  <c r="CQ84" i="7"/>
  <c r="CK84" i="7"/>
  <c r="CP83" i="7"/>
  <c r="CO83" i="7"/>
  <c r="CL83" i="7"/>
  <c r="Y79" i="3" s="1"/>
  <c r="Z79" i="3" s="1"/>
  <c r="CV83" i="6" s="1"/>
  <c r="CK83" i="7"/>
  <c r="CP82" i="7"/>
  <c r="CO82" i="7"/>
  <c r="CK82" i="7"/>
  <c r="CP81" i="7"/>
  <c r="CO81" i="7"/>
  <c r="CL81" i="7"/>
  <c r="Y77" i="3" s="1"/>
  <c r="Z77" i="3" s="1"/>
  <c r="CV81" i="6" s="1"/>
  <c r="CK81" i="7"/>
  <c r="CR80" i="7"/>
  <c r="CQ80" i="7"/>
  <c r="CP80" i="7"/>
  <c r="CO80" i="7"/>
  <c r="CK80" i="7"/>
  <c r="CP79" i="7"/>
  <c r="CO79" i="7"/>
  <c r="CL79" i="7"/>
  <c r="Y75" i="3" s="1"/>
  <c r="Z75" i="3" s="1"/>
  <c r="CV79" i="6" s="1"/>
  <c r="CK79" i="7"/>
  <c r="CP78" i="7"/>
  <c r="CO78" i="7"/>
  <c r="CK78" i="7"/>
  <c r="CP77" i="7"/>
  <c r="CO77" i="7"/>
  <c r="CK77" i="7"/>
  <c r="CP76" i="7"/>
  <c r="CO76" i="7"/>
  <c r="CL76" i="7"/>
  <c r="Y72" i="3" s="1"/>
  <c r="Z72" i="3" s="1"/>
  <c r="CV76" i="6" s="1"/>
  <c r="CK76" i="7"/>
  <c r="CP75" i="7"/>
  <c r="CO75" i="7"/>
  <c r="CK75" i="7"/>
  <c r="CU74" i="7"/>
  <c r="CP74" i="7"/>
  <c r="CO74" i="7"/>
  <c r="CL74" i="7"/>
  <c r="Y70" i="3" s="1"/>
  <c r="Z70" i="3" s="1"/>
  <c r="CV74" i="6" s="1"/>
  <c r="CK74" i="7"/>
  <c r="CT73" i="7"/>
  <c r="CS73" i="7"/>
  <c r="CR73" i="7"/>
  <c r="CQ73" i="7"/>
  <c r="CK73" i="7"/>
  <c r="CT72" i="7"/>
  <c r="CS72" i="7"/>
  <c r="CR72" i="7"/>
  <c r="CQ72" i="7"/>
  <c r="CP72" i="7"/>
  <c r="CO72" i="7"/>
  <c r="CK72" i="7"/>
  <c r="CP71" i="7"/>
  <c r="CO71" i="7"/>
  <c r="CK71" i="7"/>
  <c r="CP70" i="7"/>
  <c r="CO70" i="7"/>
  <c r="CK70" i="7"/>
  <c r="CP69" i="7"/>
  <c r="CO69" i="7"/>
  <c r="CK69" i="7"/>
  <c r="CP68" i="7"/>
  <c r="CO68" i="7"/>
  <c r="CL68" i="7"/>
  <c r="Y64" i="3" s="1"/>
  <c r="Z64" i="3" s="1"/>
  <c r="CV68" i="6" s="1"/>
  <c r="CK68" i="7"/>
  <c r="CT67" i="7"/>
  <c r="CS67" i="7"/>
  <c r="CR67" i="7"/>
  <c r="CQ67" i="7"/>
  <c r="CP67" i="7"/>
  <c r="CO67" i="7"/>
  <c r="CK67" i="7"/>
  <c r="CT66" i="7"/>
  <c r="CS66" i="7"/>
  <c r="CR66" i="7"/>
  <c r="CQ66" i="7"/>
  <c r="CK66" i="7"/>
  <c r="CP65" i="7"/>
  <c r="CO65" i="7"/>
  <c r="CK65" i="7"/>
  <c r="CR64" i="7"/>
  <c r="CQ64" i="7"/>
  <c r="CP64" i="7"/>
  <c r="CO64" i="7"/>
  <c r="CK64" i="7"/>
  <c r="CP63" i="7"/>
  <c r="CO63" i="7"/>
  <c r="CL63" i="7"/>
  <c r="Y59" i="3" s="1"/>
  <c r="Z59" i="3" s="1"/>
  <c r="CV63" i="6" s="1"/>
  <c r="CK63" i="7"/>
  <c r="CP62" i="7"/>
  <c r="CO62" i="7"/>
  <c r="CK62" i="7"/>
  <c r="CP61" i="7"/>
  <c r="CO61" i="7"/>
  <c r="CK61" i="7"/>
  <c r="CP60" i="7"/>
  <c r="CO60" i="7"/>
  <c r="CK60" i="7"/>
  <c r="CT59" i="7"/>
  <c r="CS59" i="7"/>
  <c r="CR59" i="7"/>
  <c r="CQ59" i="7"/>
  <c r="CP59" i="7"/>
  <c r="CO59" i="7"/>
  <c r="CK59" i="7"/>
  <c r="CP58" i="7"/>
  <c r="CO58" i="7"/>
  <c r="CL58" i="7"/>
  <c r="Y54" i="3" s="1"/>
  <c r="Z54" i="3" s="1"/>
  <c r="CV58" i="6" s="1"/>
  <c r="CK58" i="7"/>
  <c r="CP57" i="7"/>
  <c r="CO57" i="7"/>
  <c r="CK57" i="7"/>
  <c r="CP56" i="7"/>
  <c r="CO56" i="7"/>
  <c r="CK56" i="7"/>
  <c r="CP55" i="7"/>
  <c r="CO55" i="7"/>
  <c r="CL55" i="7"/>
  <c r="Y51" i="3" s="1"/>
  <c r="Z51" i="3" s="1"/>
  <c r="CV55" i="6" s="1"/>
  <c r="CK55" i="7"/>
  <c r="CT54" i="7"/>
  <c r="CS54" i="7"/>
  <c r="CR54" i="7"/>
  <c r="CQ54" i="7"/>
  <c r="CP54" i="7"/>
  <c r="CO54" i="7"/>
  <c r="CK54" i="7"/>
  <c r="CT53" i="7"/>
  <c r="CS53" i="7"/>
  <c r="CR53" i="7"/>
  <c r="CQ53" i="7"/>
  <c r="CP53" i="7"/>
  <c r="CO53" i="7"/>
  <c r="CK53" i="7"/>
  <c r="CT52" i="7"/>
  <c r="CS52" i="7"/>
  <c r="CR52" i="7"/>
  <c r="CQ52" i="7"/>
  <c r="CP52" i="7"/>
  <c r="CO52" i="7"/>
  <c r="CK52" i="7"/>
  <c r="CP51" i="7"/>
  <c r="CO51" i="7"/>
  <c r="CK51" i="7"/>
  <c r="CP50" i="7"/>
  <c r="CO50" i="7"/>
  <c r="CK50" i="7"/>
  <c r="CT49" i="7"/>
  <c r="CS49" i="7"/>
  <c r="CR49" i="7"/>
  <c r="CQ49" i="7"/>
  <c r="CP49" i="7"/>
  <c r="CO49" i="7"/>
  <c r="CK49" i="7"/>
  <c r="CP48" i="7"/>
  <c r="CO48" i="7"/>
  <c r="CK48" i="7"/>
  <c r="CP47" i="7"/>
  <c r="CO47" i="7"/>
  <c r="CL47" i="7"/>
  <c r="Y43" i="3" s="1"/>
  <c r="Z43" i="3" s="1"/>
  <c r="CV47" i="6" s="1"/>
  <c r="CK47" i="7"/>
  <c r="CP46" i="7"/>
  <c r="CO46" i="7"/>
  <c r="CL46" i="7"/>
  <c r="Y42" i="3" s="1"/>
  <c r="Z42" i="3" s="1"/>
  <c r="CV46" i="6" s="1"/>
  <c r="CK46" i="7"/>
  <c r="CP45" i="7"/>
  <c r="CO45" i="7"/>
  <c r="CK45" i="7"/>
  <c r="CT44" i="7"/>
  <c r="CS44" i="7"/>
  <c r="CR44" i="7"/>
  <c r="CQ44" i="7"/>
  <c r="CP44" i="7"/>
  <c r="CO44" i="7"/>
  <c r="CK44" i="7"/>
  <c r="CT43" i="7"/>
  <c r="CS43" i="7"/>
  <c r="CR43" i="7"/>
  <c r="CQ43" i="7"/>
  <c r="CP43" i="7"/>
  <c r="CO43" i="7"/>
  <c r="CK43" i="7"/>
  <c r="CP42" i="7"/>
  <c r="CO42" i="7"/>
  <c r="CK42" i="7"/>
  <c r="CP41" i="7"/>
  <c r="CO41" i="7"/>
  <c r="CK41" i="7"/>
  <c r="CP40" i="7"/>
  <c r="CO40" i="7"/>
  <c r="CL40" i="7"/>
  <c r="Y36" i="3" s="1"/>
  <c r="Z36" i="3" s="1"/>
  <c r="CV40" i="6" s="1"/>
  <c r="CK40" i="7"/>
  <c r="CR39" i="7"/>
  <c r="CQ39" i="7"/>
  <c r="CP39" i="7"/>
  <c r="CO39" i="7"/>
  <c r="CK39" i="7"/>
  <c r="CU38" i="7"/>
  <c r="CT38" i="7"/>
  <c r="CS38" i="7"/>
  <c r="CR38" i="7"/>
  <c r="CQ38" i="7"/>
  <c r="CK38" i="7"/>
  <c r="CT37" i="7"/>
  <c r="CS37" i="7"/>
  <c r="CR37" i="7"/>
  <c r="CQ37" i="7"/>
  <c r="CP37" i="7"/>
  <c r="CO37" i="7"/>
  <c r="CK37" i="7"/>
  <c r="CP36" i="7"/>
  <c r="CO36" i="7"/>
  <c r="CK36" i="7"/>
  <c r="CT35" i="7"/>
  <c r="CS35" i="7"/>
  <c r="CR35" i="7"/>
  <c r="CQ35" i="7"/>
  <c r="CK35" i="7"/>
  <c r="CT34" i="7"/>
  <c r="CS34" i="7"/>
  <c r="CR34" i="7"/>
  <c r="CQ34" i="7"/>
  <c r="CK34" i="7"/>
  <c r="CP33" i="7"/>
  <c r="CO33" i="7"/>
  <c r="CL33" i="7"/>
  <c r="Y29" i="3" s="1"/>
  <c r="Z29" i="3" s="1"/>
  <c r="CV33" i="6" s="1"/>
  <c r="CK33" i="7"/>
  <c r="CP32" i="7"/>
  <c r="CO32" i="7"/>
  <c r="CK32" i="7"/>
  <c r="CT31" i="7"/>
  <c r="CS31" i="7"/>
  <c r="CR31" i="7"/>
  <c r="CQ31" i="7"/>
  <c r="CP31" i="7"/>
  <c r="CO31" i="7"/>
  <c r="CK31" i="7"/>
  <c r="CT30" i="7"/>
  <c r="CS30" i="7"/>
  <c r="CR30" i="7"/>
  <c r="CQ30" i="7"/>
  <c r="CK30" i="7"/>
  <c r="CT29" i="7"/>
  <c r="CS29" i="7"/>
  <c r="CR29" i="7"/>
  <c r="CQ29" i="7"/>
  <c r="CK29" i="7"/>
  <c r="CP28" i="7"/>
  <c r="CO28" i="7"/>
  <c r="CL28" i="7"/>
  <c r="Y24" i="3" s="1"/>
  <c r="Z24" i="3" s="1"/>
  <c r="CV28" i="6" s="1"/>
  <c r="CK28" i="7"/>
  <c r="CT27" i="7"/>
  <c r="CS27" i="7"/>
  <c r="CR27" i="7"/>
  <c r="CQ27" i="7"/>
  <c r="CK27" i="7"/>
  <c r="CR26" i="7"/>
  <c r="CQ26" i="7"/>
  <c r="CP26" i="7"/>
  <c r="CO26" i="7"/>
  <c r="CK26" i="7"/>
  <c r="CP25" i="7"/>
  <c r="CO25" i="7"/>
  <c r="CL25" i="7"/>
  <c r="Y21" i="3" s="1"/>
  <c r="Z21" i="3" s="1"/>
  <c r="CV25" i="6" s="1"/>
  <c r="CK25" i="7"/>
  <c r="CP24" i="7"/>
  <c r="CO24" i="7"/>
  <c r="CL24" i="7"/>
  <c r="Y20" i="3" s="1"/>
  <c r="Z20" i="3" s="1"/>
  <c r="CV24" i="6" s="1"/>
  <c r="CK24" i="7"/>
  <c r="CP23" i="7"/>
  <c r="CO23" i="7"/>
  <c r="CL23" i="7"/>
  <c r="Y19" i="3" s="1"/>
  <c r="Z19" i="3" s="1"/>
  <c r="CV23" i="6" s="1"/>
  <c r="CK23" i="7"/>
  <c r="CP22" i="7"/>
  <c r="CO22" i="7"/>
  <c r="CL22" i="7"/>
  <c r="Y18" i="3" s="1"/>
  <c r="Z18" i="3" s="1"/>
  <c r="CV22" i="6" s="1"/>
  <c r="CK22" i="7"/>
  <c r="CP21" i="7"/>
  <c r="CO21" i="7"/>
  <c r="CK21" i="7"/>
  <c r="CS20" i="7"/>
  <c r="CR20" i="7"/>
  <c r="CQ20" i="7"/>
  <c r="CP20" i="7"/>
  <c r="CO20" i="7"/>
  <c r="CK20" i="7"/>
  <c r="CT19" i="7"/>
  <c r="CS19" i="7"/>
  <c r="CR19" i="7"/>
  <c r="CQ19" i="7"/>
  <c r="CP19" i="7"/>
  <c r="CO19" i="7"/>
  <c r="CK19" i="7"/>
  <c r="CP18" i="7"/>
  <c r="CO18" i="7"/>
  <c r="CK18" i="7"/>
  <c r="CP17" i="7"/>
  <c r="CO17" i="7"/>
  <c r="CK17" i="7"/>
  <c r="CP16" i="7"/>
  <c r="CO16" i="7"/>
  <c r="CK16" i="7"/>
  <c r="CT15" i="7"/>
  <c r="CS15" i="7"/>
  <c r="CR15" i="7"/>
  <c r="CQ15" i="7"/>
  <c r="CK15" i="7"/>
  <c r="CP14" i="7"/>
  <c r="CO14" i="7"/>
  <c r="CK14" i="7"/>
  <c r="CP13" i="7"/>
  <c r="CO13" i="7"/>
  <c r="CK13" i="7"/>
  <c r="CT12" i="7"/>
  <c r="CS12" i="7"/>
  <c r="CR12" i="7"/>
  <c r="CQ12" i="7"/>
  <c r="CK12" i="7"/>
  <c r="CP11" i="7"/>
  <c r="CO11" i="7"/>
  <c r="CK11" i="7"/>
  <c r="CT10" i="7"/>
  <c r="CS10" i="7"/>
  <c r="CR10" i="7"/>
  <c r="CQ10" i="7"/>
  <c r="CK10" i="7"/>
  <c r="CT9" i="7"/>
  <c r="CS9" i="7"/>
  <c r="CR9" i="7"/>
  <c r="CQ9" i="7"/>
  <c r="CK9" i="7"/>
  <c r="CT8" i="7"/>
  <c r="CS8" i="7"/>
  <c r="CR8" i="7"/>
  <c r="CQ8" i="7"/>
  <c r="CK8" i="7"/>
  <c r="CP7" i="7"/>
  <c r="CO7" i="7"/>
  <c r="CK7" i="7"/>
  <c r="CP6" i="7"/>
  <c r="CO6" i="7"/>
  <c r="CL6" i="7"/>
  <c r="Y2" i="3" s="1"/>
  <c r="Z2" i="3" s="1"/>
  <c r="CV6" i="6" s="1"/>
  <c r="CK6" i="7"/>
  <c r="BZ121" i="7"/>
  <c r="BY121" i="7"/>
  <c r="BX121" i="7"/>
  <c r="BZ120" i="7"/>
  <c r="BY120" i="7"/>
  <c r="BX120" i="7"/>
  <c r="BZ119" i="7"/>
  <c r="BY119" i="7"/>
  <c r="BX119" i="7"/>
  <c r="BZ118" i="7"/>
  <c r="BY118" i="7"/>
  <c r="BX118" i="7"/>
  <c r="BZ117" i="7"/>
  <c r="BY117" i="7"/>
  <c r="BX117" i="7"/>
  <c r="BZ116" i="7"/>
  <c r="BY116" i="7"/>
  <c r="BX116" i="7"/>
  <c r="BZ115" i="7"/>
  <c r="BY115" i="7"/>
  <c r="BX115" i="7"/>
  <c r="BZ114" i="7"/>
  <c r="BY114" i="7"/>
  <c r="BX114" i="7"/>
  <c r="BZ113" i="7"/>
  <c r="BY113" i="7"/>
  <c r="BX113" i="7"/>
  <c r="BZ112" i="7"/>
  <c r="BY112" i="7"/>
  <c r="BX112" i="7"/>
  <c r="BZ111" i="7"/>
  <c r="BY111" i="7"/>
  <c r="BX111" i="7"/>
  <c r="BZ110" i="7"/>
  <c r="BY110" i="7"/>
  <c r="BX110" i="7"/>
  <c r="BZ109" i="7"/>
  <c r="BY109" i="7"/>
  <c r="BX109" i="7"/>
  <c r="BZ108" i="7"/>
  <c r="BY108" i="7"/>
  <c r="BX108" i="7"/>
  <c r="BZ107" i="7"/>
  <c r="BY107" i="7"/>
  <c r="BX107" i="7"/>
  <c r="BZ106" i="7"/>
  <c r="BY106" i="7"/>
  <c r="BX106" i="7"/>
  <c r="BZ105" i="7"/>
  <c r="BY105" i="7"/>
  <c r="BX105" i="7"/>
  <c r="BZ104" i="7"/>
  <c r="BY104" i="7"/>
  <c r="BX104" i="7"/>
  <c r="BZ103" i="7"/>
  <c r="BY103" i="7"/>
  <c r="BX103" i="7"/>
  <c r="BZ102" i="7"/>
  <c r="BY102" i="7"/>
  <c r="BX102" i="7"/>
  <c r="BZ101" i="7"/>
  <c r="BY101" i="7"/>
  <c r="BX101" i="7"/>
  <c r="BZ100" i="7"/>
  <c r="BY100" i="7"/>
  <c r="BX100" i="7"/>
  <c r="BZ99" i="7"/>
  <c r="BY99" i="7"/>
  <c r="BX99" i="7"/>
  <c r="BZ98" i="7"/>
  <c r="BY98" i="7"/>
  <c r="BX98" i="7"/>
  <c r="BZ97" i="7"/>
  <c r="BY97" i="7"/>
  <c r="BX97" i="7"/>
  <c r="BZ96" i="7"/>
  <c r="BY96" i="7"/>
  <c r="BX96" i="7"/>
  <c r="BZ95" i="7"/>
  <c r="BY95" i="7"/>
  <c r="BX95" i="7"/>
  <c r="BZ94" i="7"/>
  <c r="BY94" i="7"/>
  <c r="BX94" i="7"/>
  <c r="BZ93" i="7"/>
  <c r="BY93" i="7"/>
  <c r="BX93" i="7"/>
  <c r="BZ92" i="7"/>
  <c r="BY92" i="7"/>
  <c r="BX92" i="7"/>
  <c r="BZ91" i="7"/>
  <c r="BY91" i="7"/>
  <c r="BX91" i="7"/>
  <c r="BZ90" i="7"/>
  <c r="BY90" i="7"/>
  <c r="BX90" i="7"/>
  <c r="BZ89" i="7"/>
  <c r="BY89" i="7"/>
  <c r="BX89" i="7"/>
  <c r="BZ88" i="7"/>
  <c r="BY88" i="7"/>
  <c r="BX88" i="7"/>
  <c r="BZ87" i="7"/>
  <c r="BY87" i="7"/>
  <c r="BX87" i="7"/>
  <c r="BZ86" i="7"/>
  <c r="BY86" i="7"/>
  <c r="BX86" i="7"/>
  <c r="BZ85" i="7"/>
  <c r="BY85" i="7"/>
  <c r="BX85" i="7"/>
  <c r="BZ84" i="7"/>
  <c r="BY84" i="7"/>
  <c r="BX84" i="7"/>
  <c r="BZ83" i="7"/>
  <c r="BY83" i="7"/>
  <c r="BX83" i="7"/>
  <c r="BZ82" i="7"/>
  <c r="BY82" i="7"/>
  <c r="BX82" i="7"/>
  <c r="BZ81" i="7"/>
  <c r="BY81" i="7"/>
  <c r="BX81" i="7"/>
  <c r="BZ80" i="7"/>
  <c r="BY80" i="7"/>
  <c r="BX80" i="7"/>
  <c r="BZ79" i="7"/>
  <c r="BY79" i="7"/>
  <c r="BX79" i="7"/>
  <c r="BZ78" i="7"/>
  <c r="BY78" i="7"/>
  <c r="BX78" i="7"/>
  <c r="BZ77" i="7"/>
  <c r="BY77" i="7"/>
  <c r="BX77" i="7"/>
  <c r="BZ76" i="7"/>
  <c r="BY76" i="7"/>
  <c r="BX76" i="7"/>
  <c r="BZ75" i="7"/>
  <c r="BY75" i="7"/>
  <c r="BX75" i="7"/>
  <c r="BZ74" i="7"/>
  <c r="BY74" i="7"/>
  <c r="BX74" i="7"/>
  <c r="BZ73" i="7"/>
  <c r="BY73" i="7"/>
  <c r="BX73" i="7"/>
  <c r="BZ72" i="7"/>
  <c r="BY72" i="7"/>
  <c r="BX72" i="7"/>
  <c r="BZ71" i="7"/>
  <c r="BY71" i="7"/>
  <c r="BX71" i="7"/>
  <c r="BZ70" i="7"/>
  <c r="BY70" i="7"/>
  <c r="BX70" i="7"/>
  <c r="BZ69" i="7"/>
  <c r="BY69" i="7"/>
  <c r="BX69" i="7"/>
  <c r="BZ68" i="7"/>
  <c r="BY68" i="7"/>
  <c r="BX68" i="7"/>
  <c r="BZ67" i="7"/>
  <c r="BY67" i="7"/>
  <c r="BX67" i="7"/>
  <c r="BZ66" i="7"/>
  <c r="BY66" i="7"/>
  <c r="BX66" i="7"/>
  <c r="BZ65" i="7"/>
  <c r="BY65" i="7"/>
  <c r="BX65" i="7"/>
  <c r="BZ64" i="7"/>
  <c r="BY64" i="7"/>
  <c r="BX64" i="7"/>
  <c r="BZ63" i="7"/>
  <c r="BY63" i="7"/>
  <c r="BX63" i="7"/>
  <c r="BZ62" i="7"/>
  <c r="BY62" i="7"/>
  <c r="BX62" i="7"/>
  <c r="BZ61" i="7"/>
  <c r="BY61" i="7"/>
  <c r="BX61" i="7"/>
  <c r="BZ60" i="7"/>
  <c r="BY60" i="7"/>
  <c r="BX60" i="7"/>
  <c r="BZ59" i="7"/>
  <c r="BY59" i="7"/>
  <c r="BX59" i="7"/>
  <c r="BZ58" i="7"/>
  <c r="BY58" i="7"/>
  <c r="BX58" i="7"/>
  <c r="BZ57" i="7"/>
  <c r="BY57" i="7"/>
  <c r="BX57" i="7"/>
  <c r="BZ56" i="7"/>
  <c r="BY56" i="7"/>
  <c r="BX56" i="7"/>
  <c r="BZ55" i="7"/>
  <c r="BY55" i="7"/>
  <c r="BX55" i="7"/>
  <c r="BZ54" i="7"/>
  <c r="BY54" i="7"/>
  <c r="BX54" i="7"/>
  <c r="BZ53" i="7"/>
  <c r="BY53" i="7"/>
  <c r="BX53" i="7"/>
  <c r="BZ52" i="7"/>
  <c r="BY52" i="7"/>
  <c r="BX52" i="7"/>
  <c r="BZ51" i="7"/>
  <c r="BY51" i="7"/>
  <c r="BX51" i="7"/>
  <c r="BZ50" i="7"/>
  <c r="BY50" i="7"/>
  <c r="BX50" i="7"/>
  <c r="BZ49" i="7"/>
  <c r="BY49" i="7"/>
  <c r="BX49" i="7"/>
  <c r="BZ48" i="7"/>
  <c r="BY48" i="7"/>
  <c r="BX48" i="7"/>
  <c r="BZ47" i="7"/>
  <c r="BY47" i="7"/>
  <c r="BX47" i="7"/>
  <c r="BZ46" i="7"/>
  <c r="BY46" i="7"/>
  <c r="BX46" i="7"/>
  <c r="BZ45" i="7"/>
  <c r="BY45" i="7"/>
  <c r="BX45" i="7"/>
  <c r="BZ44" i="7"/>
  <c r="BY44" i="7"/>
  <c r="BX44" i="7"/>
  <c r="BZ43" i="7"/>
  <c r="BY43" i="7"/>
  <c r="BX43" i="7"/>
  <c r="BZ42" i="7"/>
  <c r="BY42" i="7"/>
  <c r="BX42" i="7"/>
  <c r="BZ41" i="7"/>
  <c r="BY41" i="7"/>
  <c r="BX41" i="7"/>
  <c r="BZ40" i="7"/>
  <c r="BY40" i="7"/>
  <c r="BX40" i="7"/>
  <c r="BZ39" i="7"/>
  <c r="BY39" i="7"/>
  <c r="BX39" i="7"/>
  <c r="BZ38" i="7"/>
  <c r="BY38" i="7"/>
  <c r="BX38" i="7"/>
  <c r="BZ37" i="7"/>
  <c r="BY37" i="7"/>
  <c r="BX37" i="7"/>
  <c r="BZ36" i="7"/>
  <c r="BY36" i="7"/>
  <c r="BX36" i="7"/>
  <c r="BZ35" i="7"/>
  <c r="BY35" i="7"/>
  <c r="BX35" i="7"/>
  <c r="BZ34" i="7"/>
  <c r="BY34" i="7"/>
  <c r="BX34" i="7"/>
  <c r="BZ33" i="7"/>
  <c r="BY33" i="7"/>
  <c r="BX33" i="7"/>
  <c r="BZ32" i="7"/>
  <c r="BY32" i="7"/>
  <c r="BX32" i="7"/>
  <c r="BZ31" i="7"/>
  <c r="BY31" i="7"/>
  <c r="BX31" i="7"/>
  <c r="BZ30" i="7"/>
  <c r="BY30" i="7"/>
  <c r="BX30" i="7"/>
  <c r="BZ29" i="7"/>
  <c r="BY29" i="7"/>
  <c r="BX29" i="7"/>
  <c r="BZ28" i="7"/>
  <c r="BY28" i="7"/>
  <c r="BX28" i="7"/>
  <c r="BZ27" i="7"/>
  <c r="BY27" i="7"/>
  <c r="BX27" i="7"/>
  <c r="BZ26" i="7"/>
  <c r="BY26" i="7"/>
  <c r="BX26" i="7"/>
  <c r="BZ25" i="7"/>
  <c r="BY25" i="7"/>
  <c r="BX25" i="7"/>
  <c r="BZ24" i="7"/>
  <c r="BY24" i="7"/>
  <c r="BX24" i="7"/>
  <c r="BZ23" i="7"/>
  <c r="BY23" i="7"/>
  <c r="BX23" i="7"/>
  <c r="BZ22" i="7"/>
  <c r="BY22" i="7"/>
  <c r="BX22" i="7"/>
  <c r="BZ21" i="7"/>
  <c r="BY21" i="7"/>
  <c r="BX21" i="7"/>
  <c r="BZ20" i="7"/>
  <c r="BY20" i="7"/>
  <c r="BX20" i="7"/>
  <c r="BZ19" i="7"/>
  <c r="BY19" i="7"/>
  <c r="BX19" i="7"/>
  <c r="BZ18" i="7"/>
  <c r="BY18" i="7"/>
  <c r="BX18" i="7"/>
  <c r="BZ17" i="7"/>
  <c r="BY17" i="7"/>
  <c r="BX17" i="7"/>
  <c r="BZ16" i="7"/>
  <c r="BY16" i="7"/>
  <c r="BX16" i="7"/>
  <c r="BZ15" i="7"/>
  <c r="BY15" i="7"/>
  <c r="BX15" i="7"/>
  <c r="BZ14" i="7"/>
  <c r="BY14" i="7"/>
  <c r="BX14" i="7"/>
  <c r="BZ13" i="7"/>
  <c r="BY13" i="7"/>
  <c r="BX13" i="7"/>
  <c r="BZ12" i="7"/>
  <c r="BY12" i="7"/>
  <c r="BX12" i="7"/>
  <c r="BZ11" i="7"/>
  <c r="BY11" i="7"/>
  <c r="BX11" i="7"/>
  <c r="BZ10" i="7"/>
  <c r="BY10" i="7"/>
  <c r="BX10" i="7"/>
  <c r="BZ9" i="7"/>
  <c r="BY9" i="7"/>
  <c r="BX9" i="7"/>
  <c r="BZ8" i="7"/>
  <c r="BY8" i="7"/>
  <c r="BX8" i="7"/>
  <c r="BZ7" i="7"/>
  <c r="BY7" i="7"/>
  <c r="BX7" i="7"/>
  <c r="BZ6" i="7"/>
  <c r="BY6" i="7"/>
  <c r="BX6" i="7"/>
  <c r="BR121" i="7"/>
  <c r="BQ121" i="7"/>
  <c r="BR120" i="7"/>
  <c r="BQ120" i="7"/>
  <c r="BR119" i="7"/>
  <c r="BQ119" i="7"/>
  <c r="BR118" i="7"/>
  <c r="BQ118" i="7"/>
  <c r="BR117" i="7"/>
  <c r="BQ117" i="7"/>
  <c r="BR116" i="7"/>
  <c r="BQ116" i="7"/>
  <c r="BR115" i="7"/>
  <c r="BQ115" i="7"/>
  <c r="BR114" i="7"/>
  <c r="BQ114" i="7"/>
  <c r="BR113" i="7"/>
  <c r="BQ113" i="7"/>
  <c r="BR112" i="7"/>
  <c r="BQ112" i="7"/>
  <c r="BR111" i="7"/>
  <c r="BQ111" i="7"/>
  <c r="BR110" i="7"/>
  <c r="BQ110" i="7"/>
  <c r="BR109" i="7"/>
  <c r="BQ109" i="7"/>
  <c r="BR108" i="7"/>
  <c r="BQ108" i="7"/>
  <c r="BR107" i="7"/>
  <c r="BQ107" i="7"/>
  <c r="BR106" i="7"/>
  <c r="BQ106" i="7"/>
  <c r="BR105" i="7"/>
  <c r="BQ105" i="7"/>
  <c r="BR104" i="7"/>
  <c r="BQ104" i="7"/>
  <c r="BR103" i="7"/>
  <c r="BQ103" i="7"/>
  <c r="BR102" i="7"/>
  <c r="BQ102" i="7"/>
  <c r="BR101" i="7"/>
  <c r="BQ101" i="7"/>
  <c r="BR100" i="7"/>
  <c r="BQ100" i="7"/>
  <c r="BR99" i="7"/>
  <c r="BQ99" i="7"/>
  <c r="BR98" i="7"/>
  <c r="BQ98" i="7"/>
  <c r="BR97" i="7"/>
  <c r="BQ97" i="7"/>
  <c r="BR96" i="7"/>
  <c r="BQ96" i="7"/>
  <c r="BR95" i="7"/>
  <c r="BQ95" i="7"/>
  <c r="BR94" i="7"/>
  <c r="BQ94" i="7"/>
  <c r="BR93" i="7"/>
  <c r="BQ93" i="7"/>
  <c r="BR92" i="7"/>
  <c r="BQ92" i="7"/>
  <c r="BR91" i="7"/>
  <c r="BQ91" i="7"/>
  <c r="BR90" i="7"/>
  <c r="BQ90" i="7"/>
  <c r="BR89" i="7"/>
  <c r="BQ89" i="7"/>
  <c r="BR88" i="7"/>
  <c r="BQ88" i="7"/>
  <c r="BR87" i="7"/>
  <c r="BQ87" i="7"/>
  <c r="BR86" i="7"/>
  <c r="BQ86" i="7"/>
  <c r="BR85" i="7"/>
  <c r="BQ85" i="7"/>
  <c r="BR84" i="7"/>
  <c r="BQ84" i="7"/>
  <c r="BR83" i="7"/>
  <c r="BQ83" i="7"/>
  <c r="BR82" i="7"/>
  <c r="BQ82" i="7"/>
  <c r="BR81" i="7"/>
  <c r="BQ81" i="7"/>
  <c r="BR80" i="7"/>
  <c r="BQ80" i="7"/>
  <c r="BR79" i="7"/>
  <c r="BQ79" i="7"/>
  <c r="BR78" i="7"/>
  <c r="BQ78" i="7"/>
  <c r="BR77" i="7"/>
  <c r="BQ77" i="7"/>
  <c r="BR76" i="7"/>
  <c r="BQ76" i="7"/>
  <c r="BR75" i="7"/>
  <c r="BQ75" i="7"/>
  <c r="BR74" i="7"/>
  <c r="BQ74" i="7"/>
  <c r="BR73" i="7"/>
  <c r="BQ73" i="7"/>
  <c r="BR72" i="7"/>
  <c r="BQ72" i="7"/>
  <c r="BR71" i="7"/>
  <c r="BQ71" i="7"/>
  <c r="BR70" i="7"/>
  <c r="BQ70" i="7"/>
  <c r="BR69" i="7"/>
  <c r="BQ69" i="7"/>
  <c r="BR68" i="7"/>
  <c r="BQ68" i="7"/>
  <c r="BR67" i="7"/>
  <c r="BQ67" i="7"/>
  <c r="BR66" i="7"/>
  <c r="BQ66" i="7"/>
  <c r="BR65" i="7"/>
  <c r="BQ65" i="7"/>
  <c r="BR64" i="7"/>
  <c r="BQ64" i="7"/>
  <c r="BR63" i="7"/>
  <c r="BQ63" i="7"/>
  <c r="BR62" i="7"/>
  <c r="BQ62" i="7"/>
  <c r="BR61" i="7"/>
  <c r="BQ61" i="7"/>
  <c r="BR60" i="7"/>
  <c r="BQ60" i="7"/>
  <c r="BR59" i="7"/>
  <c r="BQ59" i="7"/>
  <c r="BR58" i="7"/>
  <c r="BQ58" i="7"/>
  <c r="BR57" i="7"/>
  <c r="BQ57" i="7"/>
  <c r="BR56" i="7"/>
  <c r="BQ56" i="7"/>
  <c r="BR55" i="7"/>
  <c r="BQ55" i="7"/>
  <c r="BR54" i="7"/>
  <c r="BQ54" i="7"/>
  <c r="BR53" i="7"/>
  <c r="BQ53" i="7"/>
  <c r="BR52" i="7"/>
  <c r="BQ52" i="7"/>
  <c r="BR51" i="7"/>
  <c r="BQ51" i="7"/>
  <c r="BR50" i="7"/>
  <c r="BQ50" i="7"/>
  <c r="BR49" i="7"/>
  <c r="BQ49" i="7"/>
  <c r="BR48" i="7"/>
  <c r="BQ48" i="7"/>
  <c r="BR47" i="7"/>
  <c r="BQ47" i="7"/>
  <c r="BR46" i="7"/>
  <c r="BQ46" i="7"/>
  <c r="BR45" i="7"/>
  <c r="BQ45" i="7"/>
  <c r="BR44" i="7"/>
  <c r="BQ44" i="7"/>
  <c r="BR43" i="7"/>
  <c r="BQ43" i="7"/>
  <c r="BR42" i="7"/>
  <c r="BQ42" i="7"/>
  <c r="BR41" i="7"/>
  <c r="BQ41" i="7"/>
  <c r="BR40" i="7"/>
  <c r="BQ40" i="7"/>
  <c r="BR39" i="7"/>
  <c r="BQ39" i="7"/>
  <c r="BR38" i="7"/>
  <c r="BQ38" i="7"/>
  <c r="BR37" i="7"/>
  <c r="BQ37" i="7"/>
  <c r="BR36" i="7"/>
  <c r="BQ36" i="7"/>
  <c r="BR35" i="7"/>
  <c r="BQ35" i="7"/>
  <c r="BR34" i="7"/>
  <c r="BQ34" i="7"/>
  <c r="BR33" i="7"/>
  <c r="BQ33" i="7"/>
  <c r="BR32" i="7"/>
  <c r="BQ32" i="7"/>
  <c r="BR31" i="7"/>
  <c r="BQ31" i="7"/>
  <c r="BR30" i="7"/>
  <c r="BQ30" i="7"/>
  <c r="BR29" i="7"/>
  <c r="BQ29" i="7"/>
  <c r="BR28" i="7"/>
  <c r="BQ28" i="7"/>
  <c r="BR27" i="7"/>
  <c r="BQ27" i="7"/>
  <c r="BR26" i="7"/>
  <c r="BQ26" i="7"/>
  <c r="BR25" i="7"/>
  <c r="BQ25" i="7"/>
  <c r="BR24" i="7"/>
  <c r="BQ24" i="7"/>
  <c r="BR23" i="7"/>
  <c r="BQ23" i="7"/>
  <c r="BR22" i="7"/>
  <c r="BQ22" i="7"/>
  <c r="BR21" i="7"/>
  <c r="BQ21" i="7"/>
  <c r="BR20" i="7"/>
  <c r="BQ20" i="7"/>
  <c r="BR19" i="7"/>
  <c r="BQ19" i="7"/>
  <c r="BR18" i="7"/>
  <c r="BQ18" i="7"/>
  <c r="BR17" i="7"/>
  <c r="BQ17" i="7"/>
  <c r="BR16" i="7"/>
  <c r="BQ16" i="7"/>
  <c r="BR15" i="7"/>
  <c r="BQ15" i="7"/>
  <c r="BR14" i="7"/>
  <c r="BQ14" i="7"/>
  <c r="BR13" i="7"/>
  <c r="BQ13" i="7"/>
  <c r="BR12" i="7"/>
  <c r="BQ12" i="7"/>
  <c r="BR11" i="7"/>
  <c r="BQ11" i="7"/>
  <c r="BR10" i="7"/>
  <c r="BQ10" i="7"/>
  <c r="BR9" i="7"/>
  <c r="BQ9" i="7"/>
  <c r="BR8" i="7"/>
  <c r="BQ8" i="7"/>
  <c r="BR7" i="7"/>
  <c r="BQ7" i="7"/>
  <c r="BR6" i="7"/>
  <c r="BQ6" i="7"/>
  <c r="BO121" i="7"/>
  <c r="BO120" i="7"/>
  <c r="BO119" i="7"/>
  <c r="BO118" i="7"/>
  <c r="BO117" i="7"/>
  <c r="BO116" i="7"/>
  <c r="BO115" i="7"/>
  <c r="BO114" i="7"/>
  <c r="BO113" i="7"/>
  <c r="BO112" i="7"/>
  <c r="BO111" i="7"/>
  <c r="BO110" i="7"/>
  <c r="BO109" i="7"/>
  <c r="BO108" i="7"/>
  <c r="BO107" i="7"/>
  <c r="BO106" i="7"/>
  <c r="BO105" i="7"/>
  <c r="BO104" i="7"/>
  <c r="BO103" i="7"/>
  <c r="BO102" i="7"/>
  <c r="BO101" i="7"/>
  <c r="BO100" i="7"/>
  <c r="BO99" i="7"/>
  <c r="BO98" i="7"/>
  <c r="BO97" i="7"/>
  <c r="BO96" i="7"/>
  <c r="BO95" i="7"/>
  <c r="BO94" i="7"/>
  <c r="BO93" i="7"/>
  <c r="BO92" i="7"/>
  <c r="BO91" i="7"/>
  <c r="BO90" i="7"/>
  <c r="BO89" i="7"/>
  <c r="BO88" i="7"/>
  <c r="BO87" i="7"/>
  <c r="BO86" i="7"/>
  <c r="BO85" i="7"/>
  <c r="BO84" i="7"/>
  <c r="BO83" i="7"/>
  <c r="BO82" i="7"/>
  <c r="BO81" i="7"/>
  <c r="BO80" i="7"/>
  <c r="BO79" i="7"/>
  <c r="BO78" i="7"/>
  <c r="BO77" i="7"/>
  <c r="BO76" i="7"/>
  <c r="BO75" i="7"/>
  <c r="BO74" i="7"/>
  <c r="BO73" i="7"/>
  <c r="BO72" i="7"/>
  <c r="BO71" i="7"/>
  <c r="BO70" i="7"/>
  <c r="BO69" i="7"/>
  <c r="BO68" i="7"/>
  <c r="BO67" i="7"/>
  <c r="BO66" i="7"/>
  <c r="BO65" i="7"/>
  <c r="BO64" i="7"/>
  <c r="BO63" i="7"/>
  <c r="BO62" i="7"/>
  <c r="BO61" i="7"/>
  <c r="BO60" i="7"/>
  <c r="BO59" i="7"/>
  <c r="BO58" i="7"/>
  <c r="BO57" i="7"/>
  <c r="BO56" i="7"/>
  <c r="BO55" i="7"/>
  <c r="BO54" i="7"/>
  <c r="BO53" i="7"/>
  <c r="BO52" i="7"/>
  <c r="BO51" i="7"/>
  <c r="BO50" i="7"/>
  <c r="BO49" i="7"/>
  <c r="BO48" i="7"/>
  <c r="BO47" i="7"/>
  <c r="BO46" i="7"/>
  <c r="BO45" i="7"/>
  <c r="BO44" i="7"/>
  <c r="BO43" i="7"/>
  <c r="BO42" i="7"/>
  <c r="BO41" i="7"/>
  <c r="BO40" i="7"/>
  <c r="BO39" i="7"/>
  <c r="BO38" i="7"/>
  <c r="BO37" i="7"/>
  <c r="BO36" i="7"/>
  <c r="BO35" i="7"/>
  <c r="BO34" i="7"/>
  <c r="BO33" i="7"/>
  <c r="BO32" i="7"/>
  <c r="BO31" i="7"/>
  <c r="BO30" i="7"/>
  <c r="BO29" i="7"/>
  <c r="BO28" i="7"/>
  <c r="BO27" i="7"/>
  <c r="BO26" i="7"/>
  <c r="BO25" i="7"/>
  <c r="BO24" i="7"/>
  <c r="BO23" i="7"/>
  <c r="BO22" i="7"/>
  <c r="BO21" i="7"/>
  <c r="BO20" i="7"/>
  <c r="BO19" i="7"/>
  <c r="BO18" i="7"/>
  <c r="BO17" i="7"/>
  <c r="BO16" i="7"/>
  <c r="BO15" i="7"/>
  <c r="BO14" i="7"/>
  <c r="BO13" i="7"/>
  <c r="BO12" i="7"/>
  <c r="BO11" i="7"/>
  <c r="BO10" i="7"/>
  <c r="BO9" i="7"/>
  <c r="BO8" i="7"/>
  <c r="BO7" i="7"/>
  <c r="BO6" i="7"/>
  <c r="BM121" i="7"/>
  <c r="BM120" i="7"/>
  <c r="BM119" i="7"/>
  <c r="BM118" i="7"/>
  <c r="BM117" i="7"/>
  <c r="BM116" i="7"/>
  <c r="BM115" i="7"/>
  <c r="BM114" i="7"/>
  <c r="BM113" i="7"/>
  <c r="BM112" i="7"/>
  <c r="BM111" i="7"/>
  <c r="BM110" i="7"/>
  <c r="BM109" i="7"/>
  <c r="BM108" i="7"/>
  <c r="BM107" i="7"/>
  <c r="BM106" i="7"/>
  <c r="BM105" i="7"/>
  <c r="BM104" i="7"/>
  <c r="BM103" i="7"/>
  <c r="BM102" i="7"/>
  <c r="BM101" i="7"/>
  <c r="BM100" i="7"/>
  <c r="BM99" i="7"/>
  <c r="BM98" i="7"/>
  <c r="BM97" i="7"/>
  <c r="BM96" i="7"/>
  <c r="BM95" i="7"/>
  <c r="BM94" i="7"/>
  <c r="BM93" i="7"/>
  <c r="BM92" i="7"/>
  <c r="BM91" i="7"/>
  <c r="BM90" i="7"/>
  <c r="BM89" i="7"/>
  <c r="BM88" i="7"/>
  <c r="BM87" i="7"/>
  <c r="BM86" i="7"/>
  <c r="BM85" i="7"/>
  <c r="BM84" i="7"/>
  <c r="BM83" i="7"/>
  <c r="BM82" i="7"/>
  <c r="BM81" i="7"/>
  <c r="BM80" i="7"/>
  <c r="BM79" i="7"/>
  <c r="BM78" i="7"/>
  <c r="BM77" i="7"/>
  <c r="BM76" i="7"/>
  <c r="BM75" i="7"/>
  <c r="BM74" i="7"/>
  <c r="BM73" i="7"/>
  <c r="BM72" i="7"/>
  <c r="BM71" i="7"/>
  <c r="BM70" i="7"/>
  <c r="BM69" i="7"/>
  <c r="BM68" i="7"/>
  <c r="BM67" i="7"/>
  <c r="BM66" i="7"/>
  <c r="BM65" i="7"/>
  <c r="BM64" i="7"/>
  <c r="BM63" i="7"/>
  <c r="BM62" i="7"/>
  <c r="BM61" i="7"/>
  <c r="BM60" i="7"/>
  <c r="BM59" i="7"/>
  <c r="BM58" i="7"/>
  <c r="BM57" i="7"/>
  <c r="BM56" i="7"/>
  <c r="BM55" i="7"/>
  <c r="BM54" i="7"/>
  <c r="BM53" i="7"/>
  <c r="BM52" i="7"/>
  <c r="BM51" i="7"/>
  <c r="BM50" i="7"/>
  <c r="BM49" i="7"/>
  <c r="BM48" i="7"/>
  <c r="BM47" i="7"/>
  <c r="BM46" i="7"/>
  <c r="BM45" i="7"/>
  <c r="BM44" i="7"/>
  <c r="BM43" i="7"/>
  <c r="BM42" i="7"/>
  <c r="BM41" i="7"/>
  <c r="BM40" i="7"/>
  <c r="BM39" i="7"/>
  <c r="BM38" i="7"/>
  <c r="BM37" i="7"/>
  <c r="BM36" i="7"/>
  <c r="BM35" i="7"/>
  <c r="BM34" i="7"/>
  <c r="BM33" i="7"/>
  <c r="BM32" i="7"/>
  <c r="BM31" i="7"/>
  <c r="BM30" i="7"/>
  <c r="BM29" i="7"/>
  <c r="BM28" i="7"/>
  <c r="BM27" i="7"/>
  <c r="BM26" i="7"/>
  <c r="BM25" i="7"/>
  <c r="BM24" i="7"/>
  <c r="BM23" i="7"/>
  <c r="BM22" i="7"/>
  <c r="BM21" i="7"/>
  <c r="BM20" i="7"/>
  <c r="BM19" i="7"/>
  <c r="BM18" i="7"/>
  <c r="BM17" i="7"/>
  <c r="BM16" i="7"/>
  <c r="BM15" i="7"/>
  <c r="BM14" i="7"/>
  <c r="BM13" i="7"/>
  <c r="BM12" i="7"/>
  <c r="BM11" i="7"/>
  <c r="BM10" i="7"/>
  <c r="BM9" i="7"/>
  <c r="BM8" i="7"/>
  <c r="BM7" i="7"/>
  <c r="BM6" i="7"/>
  <c r="BK121" i="7"/>
  <c r="BK120" i="7"/>
  <c r="BK119" i="7"/>
  <c r="BK118" i="7"/>
  <c r="BK117" i="7"/>
  <c r="BK116" i="7"/>
  <c r="BK115" i="7"/>
  <c r="BK114" i="7"/>
  <c r="BK113" i="7"/>
  <c r="BK112" i="7"/>
  <c r="BK111" i="7"/>
  <c r="BK110" i="7"/>
  <c r="BK109" i="7"/>
  <c r="BK108" i="7"/>
  <c r="BK107" i="7"/>
  <c r="BK106" i="7"/>
  <c r="BK105" i="7"/>
  <c r="BK104" i="7"/>
  <c r="BK103" i="7"/>
  <c r="BK102" i="7"/>
  <c r="BK101" i="7"/>
  <c r="BK100" i="7"/>
  <c r="BK99" i="7"/>
  <c r="BK98" i="7"/>
  <c r="BK97" i="7"/>
  <c r="BK96" i="7"/>
  <c r="BK95" i="7"/>
  <c r="BK94" i="7"/>
  <c r="BK93" i="7"/>
  <c r="BK92" i="7"/>
  <c r="BK91" i="7"/>
  <c r="BK90" i="7"/>
  <c r="BK89" i="7"/>
  <c r="BK88" i="7"/>
  <c r="BK87" i="7"/>
  <c r="BK86" i="7"/>
  <c r="BK85" i="7"/>
  <c r="BK84" i="7"/>
  <c r="BK83" i="7"/>
  <c r="BK82" i="7"/>
  <c r="BK81" i="7"/>
  <c r="BK80" i="7"/>
  <c r="BK79" i="7"/>
  <c r="BK78" i="7"/>
  <c r="BK77" i="7"/>
  <c r="BK76" i="7"/>
  <c r="BK75" i="7"/>
  <c r="BK74" i="7"/>
  <c r="BK73" i="7"/>
  <c r="BK72" i="7"/>
  <c r="BK71" i="7"/>
  <c r="BK70" i="7"/>
  <c r="BK69" i="7"/>
  <c r="BK68" i="7"/>
  <c r="BK67" i="7"/>
  <c r="BK66" i="7"/>
  <c r="BK65" i="7"/>
  <c r="BK64" i="7"/>
  <c r="BK63" i="7"/>
  <c r="BK62" i="7"/>
  <c r="BK61" i="7"/>
  <c r="BK60" i="7"/>
  <c r="BK59" i="7"/>
  <c r="BK58" i="7"/>
  <c r="BK57" i="7"/>
  <c r="BK56" i="7"/>
  <c r="BK55" i="7"/>
  <c r="BK54" i="7"/>
  <c r="BK53" i="7"/>
  <c r="BK52" i="7"/>
  <c r="BK51" i="7"/>
  <c r="BK50" i="7"/>
  <c r="BK49" i="7"/>
  <c r="BK48" i="7"/>
  <c r="BK47" i="7"/>
  <c r="BK46" i="7"/>
  <c r="BK45" i="7"/>
  <c r="BK44" i="7"/>
  <c r="BK43" i="7"/>
  <c r="BK42" i="7"/>
  <c r="BK41" i="7"/>
  <c r="BK40" i="7"/>
  <c r="BK39" i="7"/>
  <c r="BK38" i="7"/>
  <c r="BK37" i="7"/>
  <c r="BK36" i="7"/>
  <c r="BK35" i="7"/>
  <c r="BK34" i="7"/>
  <c r="BK33" i="7"/>
  <c r="BK32" i="7"/>
  <c r="BK31" i="7"/>
  <c r="BK30" i="7"/>
  <c r="BK29" i="7"/>
  <c r="BK28" i="7"/>
  <c r="BK27" i="7"/>
  <c r="BK26" i="7"/>
  <c r="BK25" i="7"/>
  <c r="BK24" i="7"/>
  <c r="BK23" i="7"/>
  <c r="BK22" i="7"/>
  <c r="BK21" i="7"/>
  <c r="BK20" i="7"/>
  <c r="BK19" i="7"/>
  <c r="BK18" i="7"/>
  <c r="BK17" i="7"/>
  <c r="BK16" i="7"/>
  <c r="BK15" i="7"/>
  <c r="BK14" i="7"/>
  <c r="BK13" i="7"/>
  <c r="BK12" i="7"/>
  <c r="BK11" i="7"/>
  <c r="BK10" i="7"/>
  <c r="BK9" i="7"/>
  <c r="BK8" i="7"/>
  <c r="BK7" i="7"/>
  <c r="BK6" i="7"/>
  <c r="BG121" i="7"/>
  <c r="BF121" i="7"/>
  <c r="BG120" i="7"/>
  <c r="BF120" i="7"/>
  <c r="BG119" i="7"/>
  <c r="BF119" i="7"/>
  <c r="BG118" i="7"/>
  <c r="BF118" i="7"/>
  <c r="BG117" i="7"/>
  <c r="BF117" i="7"/>
  <c r="BG116" i="7"/>
  <c r="BF116" i="7"/>
  <c r="BG115" i="7"/>
  <c r="BF115" i="7"/>
  <c r="BG114" i="7"/>
  <c r="BF114" i="7"/>
  <c r="BG113" i="7"/>
  <c r="BF113" i="7"/>
  <c r="BG112" i="7"/>
  <c r="BF112" i="7"/>
  <c r="BG111" i="7"/>
  <c r="BF111" i="7"/>
  <c r="BG110" i="7"/>
  <c r="BF110" i="7"/>
  <c r="BG109" i="7"/>
  <c r="BF109" i="7"/>
  <c r="BG108" i="7"/>
  <c r="BF108" i="7"/>
  <c r="BG107" i="7"/>
  <c r="BF107" i="7"/>
  <c r="BG106" i="7"/>
  <c r="BF106" i="7"/>
  <c r="BG105" i="7"/>
  <c r="BF105" i="7"/>
  <c r="BG104" i="7"/>
  <c r="BF104" i="7"/>
  <c r="BG103" i="7"/>
  <c r="BF103" i="7"/>
  <c r="BG102" i="7"/>
  <c r="BF102" i="7"/>
  <c r="BG101" i="7"/>
  <c r="BF101" i="7"/>
  <c r="BG100" i="7"/>
  <c r="BF100" i="7"/>
  <c r="BG99" i="7"/>
  <c r="BF99" i="7"/>
  <c r="BG98" i="7"/>
  <c r="BF98" i="7"/>
  <c r="BG97" i="7"/>
  <c r="BF97" i="7"/>
  <c r="BG96" i="7"/>
  <c r="BF96" i="7"/>
  <c r="BG95" i="7"/>
  <c r="BF95" i="7"/>
  <c r="BG94" i="7"/>
  <c r="BF94" i="7"/>
  <c r="BG93" i="7"/>
  <c r="BF93" i="7"/>
  <c r="BG92" i="7"/>
  <c r="BF92" i="7"/>
  <c r="BG91" i="7"/>
  <c r="BF91" i="7"/>
  <c r="BG90" i="7"/>
  <c r="BF90" i="7"/>
  <c r="BG89" i="7"/>
  <c r="BF89" i="7"/>
  <c r="BG88" i="7"/>
  <c r="BF88" i="7"/>
  <c r="BG87" i="7"/>
  <c r="BF87" i="7"/>
  <c r="BG86" i="7"/>
  <c r="BF86" i="7"/>
  <c r="BG85" i="7"/>
  <c r="BF85" i="7"/>
  <c r="BG84" i="7"/>
  <c r="BF84" i="7"/>
  <c r="BG83" i="7"/>
  <c r="BF83" i="7"/>
  <c r="BG82" i="7"/>
  <c r="BF82" i="7"/>
  <c r="BG81" i="7"/>
  <c r="BF81" i="7"/>
  <c r="BG80" i="7"/>
  <c r="BF80" i="7"/>
  <c r="BG79" i="7"/>
  <c r="BF79" i="7"/>
  <c r="BG78" i="7"/>
  <c r="BF78" i="7"/>
  <c r="BG77" i="7"/>
  <c r="BF77" i="7"/>
  <c r="BG76" i="7"/>
  <c r="BF76" i="7"/>
  <c r="BG75" i="7"/>
  <c r="BF75" i="7"/>
  <c r="BG74" i="7"/>
  <c r="BF74" i="7"/>
  <c r="BG73" i="7"/>
  <c r="BF73" i="7"/>
  <c r="BG72" i="7"/>
  <c r="BF72" i="7"/>
  <c r="BG71" i="7"/>
  <c r="BF71" i="7"/>
  <c r="BG70" i="7"/>
  <c r="BF70" i="7"/>
  <c r="BG69" i="7"/>
  <c r="BF69" i="7"/>
  <c r="BG68" i="7"/>
  <c r="BF68" i="7"/>
  <c r="BG67" i="7"/>
  <c r="BF67" i="7"/>
  <c r="BG66" i="7"/>
  <c r="BF66" i="7"/>
  <c r="BG65" i="7"/>
  <c r="BF65" i="7"/>
  <c r="BG64" i="7"/>
  <c r="BF64" i="7"/>
  <c r="BG63" i="7"/>
  <c r="BF63" i="7"/>
  <c r="BG62" i="7"/>
  <c r="BF62" i="7"/>
  <c r="BG61" i="7"/>
  <c r="BF61" i="7"/>
  <c r="BG60" i="7"/>
  <c r="BF60" i="7"/>
  <c r="BG59" i="7"/>
  <c r="BF59" i="7"/>
  <c r="BG58" i="7"/>
  <c r="BF58" i="7"/>
  <c r="BG57" i="7"/>
  <c r="BF57" i="7"/>
  <c r="BG56" i="7"/>
  <c r="BF56" i="7"/>
  <c r="BG55" i="7"/>
  <c r="BF55" i="7"/>
  <c r="BG54" i="7"/>
  <c r="BF54" i="7"/>
  <c r="BG53" i="7"/>
  <c r="BF53" i="7"/>
  <c r="BG52" i="7"/>
  <c r="BF52" i="7"/>
  <c r="BG51" i="7"/>
  <c r="BF51" i="7"/>
  <c r="BG50" i="7"/>
  <c r="BF50" i="7"/>
  <c r="BG49" i="7"/>
  <c r="BF49" i="7"/>
  <c r="BG48" i="7"/>
  <c r="BF48" i="7"/>
  <c r="BG47" i="7"/>
  <c r="BF47" i="7"/>
  <c r="BG46" i="7"/>
  <c r="BF46" i="7"/>
  <c r="BG45" i="7"/>
  <c r="BF45" i="7"/>
  <c r="BG44" i="7"/>
  <c r="BF44" i="7"/>
  <c r="BG43" i="7"/>
  <c r="BF43" i="7"/>
  <c r="BG42" i="7"/>
  <c r="BF42" i="7"/>
  <c r="BG41" i="7"/>
  <c r="BF41" i="7"/>
  <c r="BG40" i="7"/>
  <c r="BF40" i="7"/>
  <c r="BG39" i="7"/>
  <c r="BF39" i="7"/>
  <c r="BG38" i="7"/>
  <c r="BF38" i="7"/>
  <c r="BG37" i="7"/>
  <c r="BF37" i="7"/>
  <c r="BG36" i="7"/>
  <c r="BF36" i="7"/>
  <c r="BG35" i="7"/>
  <c r="BF35" i="7"/>
  <c r="BG34" i="7"/>
  <c r="BF34" i="7"/>
  <c r="BG33" i="7"/>
  <c r="BF33" i="7"/>
  <c r="BG32" i="7"/>
  <c r="BF32" i="7"/>
  <c r="BG31" i="7"/>
  <c r="BF31" i="7"/>
  <c r="BG30" i="7"/>
  <c r="BF30" i="7"/>
  <c r="BG29" i="7"/>
  <c r="BF29" i="7"/>
  <c r="BG28" i="7"/>
  <c r="BF28" i="7"/>
  <c r="BG27" i="7"/>
  <c r="BF27" i="7"/>
  <c r="BG26" i="7"/>
  <c r="BF26" i="7"/>
  <c r="BG25" i="7"/>
  <c r="BF25" i="7"/>
  <c r="BG24" i="7"/>
  <c r="BF24" i="7"/>
  <c r="BG23" i="7"/>
  <c r="BF23" i="7"/>
  <c r="BG22" i="7"/>
  <c r="BF22" i="7"/>
  <c r="BG21" i="7"/>
  <c r="BF21" i="7"/>
  <c r="BG20" i="7"/>
  <c r="BF20" i="7"/>
  <c r="BG19" i="7"/>
  <c r="BF19" i="7"/>
  <c r="BG18" i="7"/>
  <c r="BF18" i="7"/>
  <c r="BG17" i="7"/>
  <c r="BF17" i="7"/>
  <c r="BG16" i="7"/>
  <c r="BF16" i="7"/>
  <c r="BG15" i="7"/>
  <c r="BF15" i="7"/>
  <c r="BG14" i="7"/>
  <c r="BF14" i="7"/>
  <c r="BG13" i="7"/>
  <c r="BF13" i="7"/>
  <c r="BG12" i="7"/>
  <c r="BF12" i="7"/>
  <c r="BG11" i="7"/>
  <c r="BF11" i="7"/>
  <c r="BG10" i="7"/>
  <c r="BF10" i="7"/>
  <c r="BG9" i="7"/>
  <c r="BF9" i="7"/>
  <c r="BG8" i="7"/>
  <c r="BF8" i="7"/>
  <c r="BG7" i="7"/>
  <c r="BF7" i="7"/>
  <c r="BG6" i="7"/>
  <c r="BF6" i="7"/>
  <c r="AT121" i="7"/>
  <c r="AS121" i="7"/>
  <c r="AR121" i="7"/>
  <c r="AT120" i="7"/>
  <c r="AS120" i="7"/>
  <c r="AR120" i="7"/>
  <c r="AT119" i="7"/>
  <c r="AS119" i="7"/>
  <c r="AR119" i="7"/>
  <c r="AT118" i="7"/>
  <c r="AS118" i="7"/>
  <c r="AR118" i="7"/>
  <c r="AT117" i="7"/>
  <c r="AS117" i="7"/>
  <c r="AR117" i="7"/>
  <c r="AT116" i="7"/>
  <c r="AS116" i="7"/>
  <c r="AR116" i="7"/>
  <c r="AT115" i="7"/>
  <c r="AS115" i="7"/>
  <c r="AR115" i="7"/>
  <c r="AT114" i="7"/>
  <c r="AS114" i="7"/>
  <c r="AR114" i="7"/>
  <c r="AT113" i="7"/>
  <c r="AS113" i="7"/>
  <c r="AR113" i="7"/>
  <c r="AT112" i="7"/>
  <c r="AS112" i="7"/>
  <c r="AR112" i="7"/>
  <c r="AT111" i="7"/>
  <c r="AS111" i="7"/>
  <c r="AR111" i="7"/>
  <c r="AT110" i="7"/>
  <c r="AS110" i="7"/>
  <c r="AR110" i="7"/>
  <c r="AT109" i="7"/>
  <c r="AS109" i="7"/>
  <c r="AR109" i="7"/>
  <c r="AT108" i="7"/>
  <c r="AS108" i="7"/>
  <c r="AR108" i="7"/>
  <c r="AT107" i="7"/>
  <c r="AS107" i="7"/>
  <c r="AR107" i="7"/>
  <c r="AT106" i="7"/>
  <c r="AS106" i="7"/>
  <c r="AR106" i="7"/>
  <c r="AT105" i="7"/>
  <c r="AS105" i="7"/>
  <c r="AR105" i="7"/>
  <c r="AT104" i="7"/>
  <c r="AS104" i="7"/>
  <c r="AR104" i="7"/>
  <c r="AT103" i="7"/>
  <c r="AS103" i="7"/>
  <c r="AR103" i="7"/>
  <c r="AT102" i="7"/>
  <c r="AS102" i="7"/>
  <c r="AR102" i="7"/>
  <c r="AT101" i="7"/>
  <c r="AS101" i="7"/>
  <c r="AR101" i="7"/>
  <c r="AT100" i="7"/>
  <c r="AS100" i="7"/>
  <c r="AR100" i="7"/>
  <c r="AT99" i="7"/>
  <c r="AS99" i="7"/>
  <c r="AR99" i="7"/>
  <c r="AT98" i="7"/>
  <c r="AS98" i="7"/>
  <c r="AR98" i="7"/>
  <c r="AT97" i="7"/>
  <c r="AS97" i="7"/>
  <c r="AR97" i="7"/>
  <c r="AT96" i="7"/>
  <c r="AS96" i="7"/>
  <c r="AR96" i="7"/>
  <c r="AT95" i="7"/>
  <c r="AS95" i="7"/>
  <c r="AR95" i="7"/>
  <c r="AT94" i="7"/>
  <c r="AS94" i="7"/>
  <c r="AR94" i="7"/>
  <c r="AT93" i="7"/>
  <c r="AS93" i="7"/>
  <c r="AR93" i="7"/>
  <c r="AT92" i="7"/>
  <c r="AS92" i="7"/>
  <c r="AR92" i="7"/>
  <c r="AT91" i="7"/>
  <c r="AS91" i="7"/>
  <c r="AR91" i="7"/>
  <c r="AT90" i="7"/>
  <c r="AS90" i="7"/>
  <c r="AR90" i="7"/>
  <c r="AT89" i="7"/>
  <c r="AS89" i="7"/>
  <c r="AR89" i="7"/>
  <c r="AT88" i="7"/>
  <c r="AS88" i="7"/>
  <c r="AR88" i="7"/>
  <c r="AT87" i="7"/>
  <c r="AS87" i="7"/>
  <c r="AR87" i="7"/>
  <c r="AT86" i="7"/>
  <c r="AS86" i="7"/>
  <c r="AR86" i="7"/>
  <c r="AT85" i="7"/>
  <c r="AS85" i="7"/>
  <c r="AR85" i="7"/>
  <c r="AT84" i="7"/>
  <c r="AS84" i="7"/>
  <c r="AR84" i="7"/>
  <c r="AT83" i="7"/>
  <c r="AS83" i="7"/>
  <c r="AR83" i="7"/>
  <c r="AT82" i="7"/>
  <c r="AS82" i="7"/>
  <c r="AR82" i="7"/>
  <c r="AT81" i="7"/>
  <c r="AS81" i="7"/>
  <c r="AR81" i="7"/>
  <c r="AT80" i="7"/>
  <c r="AS80" i="7"/>
  <c r="AR80" i="7"/>
  <c r="AT79" i="7"/>
  <c r="AS79" i="7"/>
  <c r="AR79" i="7"/>
  <c r="AT78" i="7"/>
  <c r="AS78" i="7"/>
  <c r="AR78" i="7"/>
  <c r="AT77" i="7"/>
  <c r="AS77" i="7"/>
  <c r="AR77" i="7"/>
  <c r="AT76" i="7"/>
  <c r="AS76" i="7"/>
  <c r="AR76" i="7"/>
  <c r="AT75" i="7"/>
  <c r="AS75" i="7"/>
  <c r="AR75" i="7"/>
  <c r="AT74" i="7"/>
  <c r="AS74" i="7"/>
  <c r="AR74" i="7"/>
  <c r="AT73" i="7"/>
  <c r="AS73" i="7"/>
  <c r="AR73" i="7"/>
  <c r="AT72" i="7"/>
  <c r="AS72" i="7"/>
  <c r="AR72" i="7"/>
  <c r="AT71" i="7"/>
  <c r="AS71" i="7"/>
  <c r="AR71" i="7"/>
  <c r="AT70" i="7"/>
  <c r="AS70" i="7"/>
  <c r="AR70" i="7"/>
  <c r="AT69" i="7"/>
  <c r="AS69" i="7"/>
  <c r="AR69" i="7"/>
  <c r="AT68" i="7"/>
  <c r="AS68" i="7"/>
  <c r="AR68" i="7"/>
  <c r="AT67" i="7"/>
  <c r="AS67" i="7"/>
  <c r="AR67" i="7"/>
  <c r="AT66" i="7"/>
  <c r="AS66" i="7"/>
  <c r="AR66" i="7"/>
  <c r="AT65" i="7"/>
  <c r="AS65" i="7"/>
  <c r="AR65" i="7"/>
  <c r="AT64" i="7"/>
  <c r="AS64" i="7"/>
  <c r="AR64" i="7"/>
  <c r="AT63" i="7"/>
  <c r="AS63" i="7"/>
  <c r="AR63" i="7"/>
  <c r="AT62" i="7"/>
  <c r="AS62" i="7"/>
  <c r="AR62" i="7"/>
  <c r="AT61" i="7"/>
  <c r="AS61" i="7"/>
  <c r="AR61" i="7"/>
  <c r="AT60" i="7"/>
  <c r="AS60" i="7"/>
  <c r="AR60" i="7"/>
  <c r="AT59" i="7"/>
  <c r="AS59" i="7"/>
  <c r="AR59" i="7"/>
  <c r="AT58" i="7"/>
  <c r="AS58" i="7"/>
  <c r="AR58" i="7"/>
  <c r="AT57" i="7"/>
  <c r="AS57" i="7"/>
  <c r="AR57" i="7"/>
  <c r="AT56" i="7"/>
  <c r="AS56" i="7"/>
  <c r="AR56" i="7"/>
  <c r="AT55" i="7"/>
  <c r="AS55" i="7"/>
  <c r="AR55" i="7"/>
  <c r="AT54" i="7"/>
  <c r="AS54" i="7"/>
  <c r="AR54" i="7"/>
  <c r="AT53" i="7"/>
  <c r="AS53" i="7"/>
  <c r="AR53" i="7"/>
  <c r="AT52" i="7"/>
  <c r="AS52" i="7"/>
  <c r="AR52" i="7"/>
  <c r="AT51" i="7"/>
  <c r="AS51" i="7"/>
  <c r="AR51" i="7"/>
  <c r="AT50" i="7"/>
  <c r="AS50" i="7"/>
  <c r="AR50" i="7"/>
  <c r="AT49" i="7"/>
  <c r="AS49" i="7"/>
  <c r="AR49" i="7"/>
  <c r="AT48" i="7"/>
  <c r="AS48" i="7"/>
  <c r="AR48" i="7"/>
  <c r="AT47" i="7"/>
  <c r="AS47" i="7"/>
  <c r="AR47" i="7"/>
  <c r="AT46" i="7"/>
  <c r="AS46" i="7"/>
  <c r="AR46" i="7"/>
  <c r="AT45" i="7"/>
  <c r="AS45" i="7"/>
  <c r="AR45" i="7"/>
  <c r="AT44" i="7"/>
  <c r="AS44" i="7"/>
  <c r="AR44" i="7"/>
  <c r="AT43" i="7"/>
  <c r="AS43" i="7"/>
  <c r="AR43" i="7"/>
  <c r="AT42" i="7"/>
  <c r="AS42" i="7"/>
  <c r="AR42" i="7"/>
  <c r="AT41" i="7"/>
  <c r="AS41" i="7"/>
  <c r="AR41" i="7"/>
  <c r="AT40" i="7"/>
  <c r="AS40" i="7"/>
  <c r="AR40" i="7"/>
  <c r="AT39" i="7"/>
  <c r="AS39" i="7"/>
  <c r="AR39" i="7"/>
  <c r="AT38" i="7"/>
  <c r="AS38" i="7"/>
  <c r="AR38" i="7"/>
  <c r="AT37" i="7"/>
  <c r="AS37" i="7"/>
  <c r="AR37" i="7"/>
  <c r="AT36" i="7"/>
  <c r="AS36" i="7"/>
  <c r="AR36" i="7"/>
  <c r="AT35" i="7"/>
  <c r="AS35" i="7"/>
  <c r="AR35" i="7"/>
  <c r="AT34" i="7"/>
  <c r="AS34" i="7"/>
  <c r="AR34" i="7"/>
  <c r="AT33" i="7"/>
  <c r="AS33" i="7"/>
  <c r="AR33" i="7"/>
  <c r="AT32" i="7"/>
  <c r="AS32" i="7"/>
  <c r="AR32" i="7"/>
  <c r="AT31" i="7"/>
  <c r="AS31" i="7"/>
  <c r="AR31" i="7"/>
  <c r="AT30" i="7"/>
  <c r="AS30" i="7"/>
  <c r="AR30" i="7"/>
  <c r="AT29" i="7"/>
  <c r="AS29" i="7"/>
  <c r="AR29" i="7"/>
  <c r="AT28" i="7"/>
  <c r="AS28" i="7"/>
  <c r="AR28" i="7"/>
  <c r="AT27" i="7"/>
  <c r="AS27" i="7"/>
  <c r="AR27" i="7"/>
  <c r="AT26" i="7"/>
  <c r="AS26" i="7"/>
  <c r="AR26" i="7"/>
  <c r="AT25" i="7"/>
  <c r="AS25" i="7"/>
  <c r="AR25" i="7"/>
  <c r="AT24" i="7"/>
  <c r="AS24" i="7"/>
  <c r="AR24" i="7"/>
  <c r="AT23" i="7"/>
  <c r="AS23" i="7"/>
  <c r="AR23" i="7"/>
  <c r="AT22" i="7"/>
  <c r="AS22" i="7"/>
  <c r="AR22" i="7"/>
  <c r="AT21" i="7"/>
  <c r="AS21" i="7"/>
  <c r="AR21" i="7"/>
  <c r="AT20" i="7"/>
  <c r="AS20" i="7"/>
  <c r="AR20" i="7"/>
  <c r="AT19" i="7"/>
  <c r="AS19" i="7"/>
  <c r="AR19" i="7"/>
  <c r="AT18" i="7"/>
  <c r="AS18" i="7"/>
  <c r="AR18" i="7"/>
  <c r="AT17" i="7"/>
  <c r="AS17" i="7"/>
  <c r="AR17" i="7"/>
  <c r="AT16" i="7"/>
  <c r="AS16" i="7"/>
  <c r="AR16" i="7"/>
  <c r="AT15" i="7"/>
  <c r="AS15" i="7"/>
  <c r="AR15" i="7"/>
  <c r="AT14" i="7"/>
  <c r="AS14" i="7"/>
  <c r="AR14" i="7"/>
  <c r="AT13" i="7"/>
  <c r="AS13" i="7"/>
  <c r="AR13" i="7"/>
  <c r="AT12" i="7"/>
  <c r="AS12" i="7"/>
  <c r="AR12" i="7"/>
  <c r="AT11" i="7"/>
  <c r="AS11" i="7"/>
  <c r="AR11" i="7"/>
  <c r="AT10" i="7"/>
  <c r="AS10" i="7"/>
  <c r="AR10" i="7"/>
  <c r="AT9" i="7"/>
  <c r="AS9" i="7"/>
  <c r="AR9" i="7"/>
  <c r="AT8" i="7"/>
  <c r="AS8" i="7"/>
  <c r="AR8" i="7"/>
  <c r="AT7" i="7"/>
  <c r="AS7" i="7"/>
  <c r="AR7" i="7"/>
  <c r="AT6" i="7"/>
  <c r="AS6" i="7"/>
  <c r="AR6" i="7"/>
  <c r="AO121" i="7"/>
  <c r="AN121" i="7"/>
  <c r="AM121" i="7"/>
  <c r="AL121" i="7"/>
  <c r="AK121" i="7"/>
  <c r="AJ121" i="7"/>
  <c r="AI121" i="7"/>
  <c r="AH121" i="7"/>
  <c r="AO120" i="7"/>
  <c r="AN120" i="7"/>
  <c r="AM120" i="7"/>
  <c r="AL120" i="7"/>
  <c r="AK120" i="7"/>
  <c r="AJ120" i="7"/>
  <c r="AI120" i="7"/>
  <c r="AH120" i="7"/>
  <c r="AO119" i="7"/>
  <c r="AN119" i="7"/>
  <c r="AM119" i="7"/>
  <c r="AL119" i="7"/>
  <c r="AK119" i="7"/>
  <c r="AJ119" i="7"/>
  <c r="AI119" i="7"/>
  <c r="AH119" i="7"/>
  <c r="AO118" i="7"/>
  <c r="AN118" i="7"/>
  <c r="AM118" i="7"/>
  <c r="AL118" i="7"/>
  <c r="AK118" i="7"/>
  <c r="AJ118" i="7"/>
  <c r="AI118" i="7"/>
  <c r="AH118" i="7"/>
  <c r="AO117" i="7"/>
  <c r="AN117" i="7"/>
  <c r="AM117" i="7"/>
  <c r="AL117" i="7"/>
  <c r="AK117" i="7"/>
  <c r="AJ117" i="7"/>
  <c r="AI117" i="7"/>
  <c r="AH117" i="7"/>
  <c r="AO116" i="7"/>
  <c r="AN116" i="7"/>
  <c r="AM116" i="7"/>
  <c r="AL116" i="7"/>
  <c r="AK116" i="7"/>
  <c r="AJ116" i="7"/>
  <c r="AI116" i="7"/>
  <c r="AH116" i="7"/>
  <c r="AO115" i="7"/>
  <c r="AN115" i="7"/>
  <c r="AM115" i="7"/>
  <c r="AL115" i="7"/>
  <c r="AK115" i="7"/>
  <c r="AJ115" i="7"/>
  <c r="AI115" i="7"/>
  <c r="AH115" i="7"/>
  <c r="AO114" i="7"/>
  <c r="AN114" i="7"/>
  <c r="AM114" i="7"/>
  <c r="AL114" i="7"/>
  <c r="AK114" i="7"/>
  <c r="AJ114" i="7"/>
  <c r="AI114" i="7"/>
  <c r="AH114" i="7"/>
  <c r="AO113" i="7"/>
  <c r="AN113" i="7"/>
  <c r="AM113" i="7"/>
  <c r="AL113" i="7"/>
  <c r="AK113" i="7"/>
  <c r="AJ113" i="7"/>
  <c r="AI113" i="7"/>
  <c r="AH113" i="7"/>
  <c r="AO112" i="7"/>
  <c r="AN112" i="7"/>
  <c r="AM112" i="7"/>
  <c r="AL112" i="7"/>
  <c r="AK112" i="7"/>
  <c r="AJ112" i="7"/>
  <c r="AI112" i="7"/>
  <c r="AH112" i="7"/>
  <c r="AO111" i="7"/>
  <c r="AN111" i="7"/>
  <c r="AM111" i="7"/>
  <c r="AL111" i="7"/>
  <c r="AK111" i="7"/>
  <c r="AJ111" i="7"/>
  <c r="AI111" i="7"/>
  <c r="AH111" i="7"/>
  <c r="AO110" i="7"/>
  <c r="AN110" i="7"/>
  <c r="AM110" i="7"/>
  <c r="AL110" i="7"/>
  <c r="AK110" i="7"/>
  <c r="AJ110" i="7"/>
  <c r="AI110" i="7"/>
  <c r="AH110" i="7"/>
  <c r="AO109" i="7"/>
  <c r="AN109" i="7"/>
  <c r="AM109" i="7"/>
  <c r="AL109" i="7"/>
  <c r="AK109" i="7"/>
  <c r="AJ109" i="7"/>
  <c r="AI109" i="7"/>
  <c r="AH109" i="7"/>
  <c r="AO108" i="7"/>
  <c r="AN108" i="7"/>
  <c r="AM108" i="7"/>
  <c r="AL108" i="7"/>
  <c r="AK108" i="7"/>
  <c r="AJ108" i="7"/>
  <c r="AI108" i="7"/>
  <c r="AH108" i="7"/>
  <c r="AO107" i="7"/>
  <c r="AN107" i="7"/>
  <c r="AM107" i="7"/>
  <c r="AL107" i="7"/>
  <c r="AK107" i="7"/>
  <c r="AJ107" i="7"/>
  <c r="AI107" i="7"/>
  <c r="AH107" i="7"/>
  <c r="AO106" i="7"/>
  <c r="AN106" i="7"/>
  <c r="AM106" i="7"/>
  <c r="AL106" i="7"/>
  <c r="AK106" i="7"/>
  <c r="AJ106" i="7"/>
  <c r="AI106" i="7"/>
  <c r="AH106" i="7"/>
  <c r="AO105" i="7"/>
  <c r="AN105" i="7"/>
  <c r="AM105" i="7"/>
  <c r="AL105" i="7"/>
  <c r="AK105" i="7"/>
  <c r="AJ105" i="7"/>
  <c r="AI105" i="7"/>
  <c r="AH105" i="7"/>
  <c r="AO104" i="7"/>
  <c r="AN104" i="7"/>
  <c r="AM104" i="7"/>
  <c r="AL104" i="7"/>
  <c r="AK104" i="7"/>
  <c r="AJ104" i="7"/>
  <c r="AI104" i="7"/>
  <c r="AH104" i="7"/>
  <c r="AO103" i="7"/>
  <c r="AN103" i="7"/>
  <c r="AM103" i="7"/>
  <c r="AL103" i="7"/>
  <c r="AK103" i="7"/>
  <c r="AJ103" i="7"/>
  <c r="AI103" i="7"/>
  <c r="AH103" i="7"/>
  <c r="AO102" i="7"/>
  <c r="AN102" i="7"/>
  <c r="AM102" i="7"/>
  <c r="AL102" i="7"/>
  <c r="AK102" i="7"/>
  <c r="AJ102" i="7"/>
  <c r="AI102" i="7"/>
  <c r="AH102" i="7"/>
  <c r="AO101" i="7"/>
  <c r="AN101" i="7"/>
  <c r="AM101" i="7"/>
  <c r="AL101" i="7"/>
  <c r="AK101" i="7"/>
  <c r="AJ101" i="7"/>
  <c r="AI101" i="7"/>
  <c r="AH101" i="7"/>
  <c r="AO100" i="7"/>
  <c r="AN100" i="7"/>
  <c r="AM100" i="7"/>
  <c r="AL100" i="7"/>
  <c r="AK100" i="7"/>
  <c r="AJ100" i="7"/>
  <c r="AI100" i="7"/>
  <c r="AH100" i="7"/>
  <c r="AO99" i="7"/>
  <c r="AN99" i="7"/>
  <c r="AM99" i="7"/>
  <c r="AL99" i="7"/>
  <c r="AK99" i="7"/>
  <c r="AJ99" i="7"/>
  <c r="AI99" i="7"/>
  <c r="AH99" i="7"/>
  <c r="AO98" i="7"/>
  <c r="AN98" i="7"/>
  <c r="AM98" i="7"/>
  <c r="AL98" i="7"/>
  <c r="AK98" i="7"/>
  <c r="AJ98" i="7"/>
  <c r="AI98" i="7"/>
  <c r="AH98" i="7"/>
  <c r="AO97" i="7"/>
  <c r="AN97" i="7"/>
  <c r="AM97" i="7"/>
  <c r="AL97" i="7"/>
  <c r="AK97" i="7"/>
  <c r="AJ97" i="7"/>
  <c r="AI97" i="7"/>
  <c r="AH97" i="7"/>
  <c r="AO96" i="7"/>
  <c r="AN96" i="7"/>
  <c r="AM96" i="7"/>
  <c r="AL96" i="7"/>
  <c r="AK96" i="7"/>
  <c r="AJ96" i="7"/>
  <c r="AI96" i="7"/>
  <c r="AH96" i="7"/>
  <c r="AO95" i="7"/>
  <c r="AN95" i="7"/>
  <c r="AM95" i="7"/>
  <c r="AL95" i="7"/>
  <c r="AK95" i="7"/>
  <c r="AJ95" i="7"/>
  <c r="AI95" i="7"/>
  <c r="AH95" i="7"/>
  <c r="AO94" i="7"/>
  <c r="AN94" i="7"/>
  <c r="AM94" i="7"/>
  <c r="AL94" i="7"/>
  <c r="AK94" i="7"/>
  <c r="AJ94" i="7"/>
  <c r="AI94" i="7"/>
  <c r="AH94" i="7"/>
  <c r="AO93" i="7"/>
  <c r="AN93" i="7"/>
  <c r="AM93" i="7"/>
  <c r="AL93" i="7"/>
  <c r="AK93" i="7"/>
  <c r="AJ93" i="7"/>
  <c r="AI93" i="7"/>
  <c r="AH93" i="7"/>
  <c r="AO92" i="7"/>
  <c r="AN92" i="7"/>
  <c r="AM92" i="7"/>
  <c r="AL92" i="7"/>
  <c r="AK92" i="7"/>
  <c r="AJ92" i="7"/>
  <c r="AI92" i="7"/>
  <c r="AH92" i="7"/>
  <c r="AO91" i="7"/>
  <c r="AN91" i="7"/>
  <c r="AM91" i="7"/>
  <c r="AL91" i="7"/>
  <c r="AK91" i="7"/>
  <c r="AJ91" i="7"/>
  <c r="AI91" i="7"/>
  <c r="AH91" i="7"/>
  <c r="AO90" i="7"/>
  <c r="AN90" i="7"/>
  <c r="AM90" i="7"/>
  <c r="AL90" i="7"/>
  <c r="AK90" i="7"/>
  <c r="AJ90" i="7"/>
  <c r="AI90" i="7"/>
  <c r="AH90" i="7"/>
  <c r="AO89" i="7"/>
  <c r="AN89" i="7"/>
  <c r="AM89" i="7"/>
  <c r="AL89" i="7"/>
  <c r="AK89" i="7"/>
  <c r="AJ89" i="7"/>
  <c r="AI89" i="7"/>
  <c r="AH89" i="7"/>
  <c r="AO88" i="7"/>
  <c r="AN88" i="7"/>
  <c r="AM88" i="7"/>
  <c r="AL88" i="7"/>
  <c r="AK88" i="7"/>
  <c r="AJ88" i="7"/>
  <c r="AI88" i="7"/>
  <c r="AH88" i="7"/>
  <c r="AO87" i="7"/>
  <c r="AN87" i="7"/>
  <c r="AM87" i="7"/>
  <c r="AL87" i="7"/>
  <c r="AK87" i="7"/>
  <c r="AJ87" i="7"/>
  <c r="AI87" i="7"/>
  <c r="AH87" i="7"/>
  <c r="AO86" i="7"/>
  <c r="AN86" i="7"/>
  <c r="AM86" i="7"/>
  <c r="AL86" i="7"/>
  <c r="AK86" i="7"/>
  <c r="AJ86" i="7"/>
  <c r="AI86" i="7"/>
  <c r="AH86" i="7"/>
  <c r="AO85" i="7"/>
  <c r="AN85" i="7"/>
  <c r="AM85" i="7"/>
  <c r="AL85" i="7"/>
  <c r="AK85" i="7"/>
  <c r="AJ85" i="7"/>
  <c r="AI85" i="7"/>
  <c r="AH85" i="7"/>
  <c r="AO84" i="7"/>
  <c r="AN84" i="7"/>
  <c r="AM84" i="7"/>
  <c r="AL84" i="7"/>
  <c r="AK84" i="7"/>
  <c r="AJ84" i="7"/>
  <c r="AI84" i="7"/>
  <c r="AH84" i="7"/>
  <c r="AO83" i="7"/>
  <c r="AN83" i="7"/>
  <c r="AM83" i="7"/>
  <c r="AL83" i="7"/>
  <c r="AK83" i="7"/>
  <c r="AJ83" i="7"/>
  <c r="AI83" i="7"/>
  <c r="AH83" i="7"/>
  <c r="AO82" i="7"/>
  <c r="AN82" i="7"/>
  <c r="AM82" i="7"/>
  <c r="AL82" i="7"/>
  <c r="AK82" i="7"/>
  <c r="AJ82" i="7"/>
  <c r="AI82" i="7"/>
  <c r="AH82" i="7"/>
  <c r="AO81" i="7"/>
  <c r="AN81" i="7"/>
  <c r="AM81" i="7"/>
  <c r="AL81" i="7"/>
  <c r="AK81" i="7"/>
  <c r="AJ81" i="7"/>
  <c r="AI81" i="7"/>
  <c r="AH81" i="7"/>
  <c r="AO80" i="7"/>
  <c r="AN80" i="7"/>
  <c r="AM80" i="7"/>
  <c r="AL80" i="7"/>
  <c r="AK80" i="7"/>
  <c r="AJ80" i="7"/>
  <c r="AI80" i="7"/>
  <c r="AH80" i="7"/>
  <c r="AO79" i="7"/>
  <c r="AN79" i="7"/>
  <c r="AM79" i="7"/>
  <c r="AL79" i="7"/>
  <c r="AK79" i="7"/>
  <c r="AJ79" i="7"/>
  <c r="AI79" i="7"/>
  <c r="AH79" i="7"/>
  <c r="AO78" i="7"/>
  <c r="AN78" i="7"/>
  <c r="AM78" i="7"/>
  <c r="AL78" i="7"/>
  <c r="AK78" i="7"/>
  <c r="AJ78" i="7"/>
  <c r="AI78" i="7"/>
  <c r="AH78" i="7"/>
  <c r="AO77" i="7"/>
  <c r="AN77" i="7"/>
  <c r="AM77" i="7"/>
  <c r="AL77" i="7"/>
  <c r="AK77" i="7"/>
  <c r="AJ77" i="7"/>
  <c r="AI77" i="7"/>
  <c r="AH77" i="7"/>
  <c r="AO76" i="7"/>
  <c r="AN76" i="7"/>
  <c r="AM76" i="7"/>
  <c r="AL76" i="7"/>
  <c r="AK76" i="7"/>
  <c r="AJ76" i="7"/>
  <c r="AI76" i="7"/>
  <c r="AH76" i="7"/>
  <c r="AO75" i="7"/>
  <c r="AN75" i="7"/>
  <c r="AM75" i="7"/>
  <c r="AL75" i="7"/>
  <c r="AK75" i="7"/>
  <c r="AJ75" i="7"/>
  <c r="AI75" i="7"/>
  <c r="AH75" i="7"/>
  <c r="AO74" i="7"/>
  <c r="AN74" i="7"/>
  <c r="AM74" i="7"/>
  <c r="AL74" i="7"/>
  <c r="AK74" i="7"/>
  <c r="AJ74" i="7"/>
  <c r="AI74" i="7"/>
  <c r="AH74" i="7"/>
  <c r="AO73" i="7"/>
  <c r="AN73" i="7"/>
  <c r="AM73" i="7"/>
  <c r="AL73" i="7"/>
  <c r="AK73" i="7"/>
  <c r="AJ73" i="7"/>
  <c r="AI73" i="7"/>
  <c r="AH73" i="7"/>
  <c r="AO72" i="7"/>
  <c r="AN72" i="7"/>
  <c r="AM72" i="7"/>
  <c r="AL72" i="7"/>
  <c r="AK72" i="7"/>
  <c r="AJ72" i="7"/>
  <c r="AI72" i="7"/>
  <c r="AH72" i="7"/>
  <c r="AO71" i="7"/>
  <c r="AN71" i="7"/>
  <c r="AM71" i="7"/>
  <c r="AL71" i="7"/>
  <c r="AK71" i="7"/>
  <c r="AJ71" i="7"/>
  <c r="AI71" i="7"/>
  <c r="AH71" i="7"/>
  <c r="AO70" i="7"/>
  <c r="AN70" i="7"/>
  <c r="AM70" i="7"/>
  <c r="AL70" i="7"/>
  <c r="AK70" i="7"/>
  <c r="AJ70" i="7"/>
  <c r="AI70" i="7"/>
  <c r="AH70" i="7"/>
  <c r="AO69" i="7"/>
  <c r="AN69" i="7"/>
  <c r="AM69" i="7"/>
  <c r="AL69" i="7"/>
  <c r="AK69" i="7"/>
  <c r="AJ69" i="7"/>
  <c r="AI69" i="7"/>
  <c r="AH69" i="7"/>
  <c r="AO68" i="7"/>
  <c r="AN68" i="7"/>
  <c r="AM68" i="7"/>
  <c r="AL68" i="7"/>
  <c r="AK68" i="7"/>
  <c r="AJ68" i="7"/>
  <c r="AI68" i="7"/>
  <c r="AH68" i="7"/>
  <c r="AO67" i="7"/>
  <c r="AN67" i="7"/>
  <c r="AM67" i="7"/>
  <c r="AL67" i="7"/>
  <c r="AK67" i="7"/>
  <c r="AJ67" i="7"/>
  <c r="AI67" i="7"/>
  <c r="AH67" i="7"/>
  <c r="AO66" i="7"/>
  <c r="AN66" i="7"/>
  <c r="AM66" i="7"/>
  <c r="AL66" i="7"/>
  <c r="AK66" i="7"/>
  <c r="AJ66" i="7"/>
  <c r="AI66" i="7"/>
  <c r="AH66" i="7"/>
  <c r="AO65" i="7"/>
  <c r="AN65" i="7"/>
  <c r="AM65" i="7"/>
  <c r="AL65" i="7"/>
  <c r="AK65" i="7"/>
  <c r="AJ65" i="7"/>
  <c r="AI65" i="7"/>
  <c r="AH65" i="7"/>
  <c r="AO64" i="7"/>
  <c r="AN64" i="7"/>
  <c r="AM64" i="7"/>
  <c r="AL64" i="7"/>
  <c r="AK64" i="7"/>
  <c r="AJ64" i="7"/>
  <c r="AI64" i="7"/>
  <c r="AH64" i="7"/>
  <c r="AO63" i="7"/>
  <c r="AN63" i="7"/>
  <c r="AM63" i="7"/>
  <c r="AL63" i="7"/>
  <c r="AK63" i="7"/>
  <c r="AJ63" i="7"/>
  <c r="AI63" i="7"/>
  <c r="AH63" i="7"/>
  <c r="AO62" i="7"/>
  <c r="AN62" i="7"/>
  <c r="AM62" i="7"/>
  <c r="AL62" i="7"/>
  <c r="AK62" i="7"/>
  <c r="AJ62" i="7"/>
  <c r="AI62" i="7"/>
  <c r="AH62" i="7"/>
  <c r="AO61" i="7"/>
  <c r="AN61" i="7"/>
  <c r="AM61" i="7"/>
  <c r="AL61" i="7"/>
  <c r="AK61" i="7"/>
  <c r="AJ61" i="7"/>
  <c r="AI61" i="7"/>
  <c r="AH61" i="7"/>
  <c r="AO60" i="7"/>
  <c r="AN60" i="7"/>
  <c r="AM60" i="7"/>
  <c r="AL60" i="7"/>
  <c r="AK60" i="7"/>
  <c r="AJ60" i="7"/>
  <c r="AI60" i="7"/>
  <c r="AH60" i="7"/>
  <c r="AO59" i="7"/>
  <c r="AN59" i="7"/>
  <c r="AM59" i="7"/>
  <c r="AL59" i="7"/>
  <c r="AK59" i="7"/>
  <c r="AJ59" i="7"/>
  <c r="AI59" i="7"/>
  <c r="AH59" i="7"/>
  <c r="AO58" i="7"/>
  <c r="AN58" i="7"/>
  <c r="AM58" i="7"/>
  <c r="AL58" i="7"/>
  <c r="AK58" i="7"/>
  <c r="AJ58" i="7"/>
  <c r="AI58" i="7"/>
  <c r="AH58" i="7"/>
  <c r="AO57" i="7"/>
  <c r="AN57" i="7"/>
  <c r="AM57" i="7"/>
  <c r="AL57" i="7"/>
  <c r="AK57" i="7"/>
  <c r="AJ57" i="7"/>
  <c r="AI57" i="7"/>
  <c r="AH57" i="7"/>
  <c r="AO56" i="7"/>
  <c r="AN56" i="7"/>
  <c r="AM56" i="7"/>
  <c r="AL56" i="7"/>
  <c r="AK56" i="7"/>
  <c r="AJ56" i="7"/>
  <c r="AI56" i="7"/>
  <c r="AH56" i="7"/>
  <c r="AO55" i="7"/>
  <c r="AN55" i="7"/>
  <c r="AM55" i="7"/>
  <c r="AL55" i="7"/>
  <c r="AK55" i="7"/>
  <c r="AJ55" i="7"/>
  <c r="AI55" i="7"/>
  <c r="AH55" i="7"/>
  <c r="AO54" i="7"/>
  <c r="AN54" i="7"/>
  <c r="AM54" i="7"/>
  <c r="AL54" i="7"/>
  <c r="AK54" i="7"/>
  <c r="AJ54" i="7"/>
  <c r="AI54" i="7"/>
  <c r="AH54" i="7"/>
  <c r="AO53" i="7"/>
  <c r="AN53" i="7"/>
  <c r="AM53" i="7"/>
  <c r="AL53" i="7"/>
  <c r="AK53" i="7"/>
  <c r="AJ53" i="7"/>
  <c r="AI53" i="7"/>
  <c r="AH53" i="7"/>
  <c r="AO52" i="7"/>
  <c r="AN52" i="7"/>
  <c r="AM52" i="7"/>
  <c r="AL52" i="7"/>
  <c r="AK52" i="7"/>
  <c r="AJ52" i="7"/>
  <c r="AI52" i="7"/>
  <c r="AH52" i="7"/>
  <c r="AO51" i="7"/>
  <c r="AN51" i="7"/>
  <c r="AM51" i="7"/>
  <c r="AL51" i="7"/>
  <c r="AK51" i="7"/>
  <c r="AJ51" i="7"/>
  <c r="AI51" i="7"/>
  <c r="AH51" i="7"/>
  <c r="AO50" i="7"/>
  <c r="AN50" i="7"/>
  <c r="AM50" i="7"/>
  <c r="AL50" i="7"/>
  <c r="AK50" i="7"/>
  <c r="AJ50" i="7"/>
  <c r="AI50" i="7"/>
  <c r="AH50" i="7"/>
  <c r="AO49" i="7"/>
  <c r="AN49" i="7"/>
  <c r="AM49" i="7"/>
  <c r="AL49" i="7"/>
  <c r="AK49" i="7"/>
  <c r="AJ49" i="7"/>
  <c r="AI49" i="7"/>
  <c r="AH49" i="7"/>
  <c r="AO48" i="7"/>
  <c r="AN48" i="7"/>
  <c r="AM48" i="7"/>
  <c r="AL48" i="7"/>
  <c r="AK48" i="7"/>
  <c r="AJ48" i="7"/>
  <c r="AI48" i="7"/>
  <c r="AH48" i="7"/>
  <c r="AO47" i="7"/>
  <c r="AN47" i="7"/>
  <c r="AM47" i="7"/>
  <c r="AL47" i="7"/>
  <c r="AK47" i="7"/>
  <c r="AJ47" i="7"/>
  <c r="AI47" i="7"/>
  <c r="AH47" i="7"/>
  <c r="AO46" i="7"/>
  <c r="AN46" i="7"/>
  <c r="AM46" i="7"/>
  <c r="AL46" i="7"/>
  <c r="AK46" i="7"/>
  <c r="AJ46" i="7"/>
  <c r="AI46" i="7"/>
  <c r="AH46" i="7"/>
  <c r="AO45" i="7"/>
  <c r="AN45" i="7"/>
  <c r="AM45" i="7"/>
  <c r="AL45" i="7"/>
  <c r="AK45" i="7"/>
  <c r="AJ45" i="7"/>
  <c r="AI45" i="7"/>
  <c r="AH45" i="7"/>
  <c r="AO44" i="7"/>
  <c r="AN44" i="7"/>
  <c r="AM44" i="7"/>
  <c r="AL44" i="7"/>
  <c r="AK44" i="7"/>
  <c r="AJ44" i="7"/>
  <c r="AI44" i="7"/>
  <c r="AH44" i="7"/>
  <c r="AO43" i="7"/>
  <c r="AN43" i="7"/>
  <c r="AM43" i="7"/>
  <c r="AL43" i="7"/>
  <c r="AK43" i="7"/>
  <c r="AJ43" i="7"/>
  <c r="AI43" i="7"/>
  <c r="AH43" i="7"/>
  <c r="AO42" i="7"/>
  <c r="AN42" i="7"/>
  <c r="AM42" i="7"/>
  <c r="AL42" i="7"/>
  <c r="AK42" i="7"/>
  <c r="AJ42" i="7"/>
  <c r="AI42" i="7"/>
  <c r="AH42" i="7"/>
  <c r="AO41" i="7"/>
  <c r="AN41" i="7"/>
  <c r="AM41" i="7"/>
  <c r="AL41" i="7"/>
  <c r="AK41" i="7"/>
  <c r="AJ41" i="7"/>
  <c r="AI41" i="7"/>
  <c r="AH41" i="7"/>
  <c r="AO40" i="7"/>
  <c r="AN40" i="7"/>
  <c r="AM40" i="7"/>
  <c r="AL40" i="7"/>
  <c r="AK40" i="7"/>
  <c r="AJ40" i="7"/>
  <c r="AI40" i="7"/>
  <c r="AH40" i="7"/>
  <c r="AO39" i="7"/>
  <c r="AN39" i="7"/>
  <c r="AM39" i="7"/>
  <c r="AL39" i="7"/>
  <c r="AK39" i="7"/>
  <c r="AJ39" i="7"/>
  <c r="AI39" i="7"/>
  <c r="AH39" i="7"/>
  <c r="AO38" i="7"/>
  <c r="AN38" i="7"/>
  <c r="AM38" i="7"/>
  <c r="AL38" i="7"/>
  <c r="AK38" i="7"/>
  <c r="AJ38" i="7"/>
  <c r="AI38" i="7"/>
  <c r="AH38" i="7"/>
  <c r="AO37" i="7"/>
  <c r="AN37" i="7"/>
  <c r="AM37" i="7"/>
  <c r="AL37" i="7"/>
  <c r="AK37" i="7"/>
  <c r="AJ37" i="7"/>
  <c r="AI37" i="7"/>
  <c r="AH37" i="7"/>
  <c r="AO36" i="7"/>
  <c r="AN36" i="7"/>
  <c r="AM36" i="7"/>
  <c r="AL36" i="7"/>
  <c r="AK36" i="7"/>
  <c r="AJ36" i="7"/>
  <c r="AI36" i="7"/>
  <c r="AH36" i="7"/>
  <c r="AO35" i="7"/>
  <c r="AN35" i="7"/>
  <c r="AM35" i="7"/>
  <c r="AL35" i="7"/>
  <c r="AK35" i="7"/>
  <c r="AJ35" i="7"/>
  <c r="AI35" i="7"/>
  <c r="AH35" i="7"/>
  <c r="AO34" i="7"/>
  <c r="AN34" i="7"/>
  <c r="AM34" i="7"/>
  <c r="AL34" i="7"/>
  <c r="AK34" i="7"/>
  <c r="AJ34" i="7"/>
  <c r="AI34" i="7"/>
  <c r="AH34" i="7"/>
  <c r="AO33" i="7"/>
  <c r="AN33" i="7"/>
  <c r="AM33" i="7"/>
  <c r="AL33" i="7"/>
  <c r="AK33" i="7"/>
  <c r="AJ33" i="7"/>
  <c r="AI33" i="7"/>
  <c r="AH33" i="7"/>
  <c r="AO32" i="7"/>
  <c r="AN32" i="7"/>
  <c r="AM32" i="7"/>
  <c r="AL32" i="7"/>
  <c r="AK32" i="7"/>
  <c r="AJ32" i="7"/>
  <c r="AI32" i="7"/>
  <c r="AH32" i="7"/>
  <c r="AO31" i="7"/>
  <c r="AN31" i="7"/>
  <c r="AM31" i="7"/>
  <c r="AL31" i="7"/>
  <c r="AK31" i="7"/>
  <c r="AJ31" i="7"/>
  <c r="AI31" i="7"/>
  <c r="AH31" i="7"/>
  <c r="AO30" i="7"/>
  <c r="AN30" i="7"/>
  <c r="AM30" i="7"/>
  <c r="AL30" i="7"/>
  <c r="AK30" i="7"/>
  <c r="AJ30" i="7"/>
  <c r="AI30" i="7"/>
  <c r="AH30" i="7"/>
  <c r="AO29" i="7"/>
  <c r="AN29" i="7"/>
  <c r="AM29" i="7"/>
  <c r="AL29" i="7"/>
  <c r="AK29" i="7"/>
  <c r="AJ29" i="7"/>
  <c r="AI29" i="7"/>
  <c r="AH29" i="7"/>
  <c r="AO28" i="7"/>
  <c r="AN28" i="7"/>
  <c r="AM28" i="7"/>
  <c r="AL28" i="7"/>
  <c r="AK28" i="7"/>
  <c r="AJ28" i="7"/>
  <c r="AI28" i="7"/>
  <c r="AH28" i="7"/>
  <c r="AO27" i="7"/>
  <c r="AN27" i="7"/>
  <c r="AM27" i="7"/>
  <c r="AL27" i="7"/>
  <c r="AK27" i="7"/>
  <c r="AJ27" i="7"/>
  <c r="AI27" i="7"/>
  <c r="AH27" i="7"/>
  <c r="AO26" i="7"/>
  <c r="AN26" i="7"/>
  <c r="AM26" i="7"/>
  <c r="AL26" i="7"/>
  <c r="AK26" i="7"/>
  <c r="AJ26" i="7"/>
  <c r="AI26" i="7"/>
  <c r="AH26" i="7"/>
  <c r="AO25" i="7"/>
  <c r="AN25" i="7"/>
  <c r="AM25" i="7"/>
  <c r="AL25" i="7"/>
  <c r="AK25" i="7"/>
  <c r="AJ25" i="7"/>
  <c r="AI25" i="7"/>
  <c r="AH25" i="7"/>
  <c r="AO24" i="7"/>
  <c r="AN24" i="7"/>
  <c r="AM24" i="7"/>
  <c r="AL24" i="7"/>
  <c r="AK24" i="7"/>
  <c r="AJ24" i="7"/>
  <c r="AI24" i="7"/>
  <c r="AH24" i="7"/>
  <c r="AO23" i="7"/>
  <c r="AN23" i="7"/>
  <c r="AM23" i="7"/>
  <c r="AL23" i="7"/>
  <c r="AK23" i="7"/>
  <c r="AJ23" i="7"/>
  <c r="AI23" i="7"/>
  <c r="AH23" i="7"/>
  <c r="AO22" i="7"/>
  <c r="AN22" i="7"/>
  <c r="AM22" i="7"/>
  <c r="AL22" i="7"/>
  <c r="AK22" i="7"/>
  <c r="AJ22" i="7"/>
  <c r="AI22" i="7"/>
  <c r="AH22" i="7"/>
  <c r="AO21" i="7"/>
  <c r="AN21" i="7"/>
  <c r="AM21" i="7"/>
  <c r="AL21" i="7"/>
  <c r="AK21" i="7"/>
  <c r="AJ21" i="7"/>
  <c r="AI21" i="7"/>
  <c r="AH21" i="7"/>
  <c r="AO20" i="7"/>
  <c r="AN20" i="7"/>
  <c r="AM20" i="7"/>
  <c r="AL20" i="7"/>
  <c r="AK20" i="7"/>
  <c r="AJ20" i="7"/>
  <c r="AI20" i="7"/>
  <c r="AH20" i="7"/>
  <c r="AO19" i="7"/>
  <c r="AN19" i="7"/>
  <c r="AM19" i="7"/>
  <c r="AL19" i="7"/>
  <c r="AK19" i="7"/>
  <c r="AJ19" i="7"/>
  <c r="AI19" i="7"/>
  <c r="AH19" i="7"/>
  <c r="AO18" i="7"/>
  <c r="AN18" i="7"/>
  <c r="AM18" i="7"/>
  <c r="AL18" i="7"/>
  <c r="AK18" i="7"/>
  <c r="AJ18" i="7"/>
  <c r="AI18" i="7"/>
  <c r="AH18" i="7"/>
  <c r="AO17" i="7"/>
  <c r="AN17" i="7"/>
  <c r="AM17" i="7"/>
  <c r="AL17" i="7"/>
  <c r="AK17" i="7"/>
  <c r="AJ17" i="7"/>
  <c r="AI17" i="7"/>
  <c r="AH17" i="7"/>
  <c r="AO16" i="7"/>
  <c r="AN16" i="7"/>
  <c r="AM16" i="7"/>
  <c r="AL16" i="7"/>
  <c r="AK16" i="7"/>
  <c r="AJ16" i="7"/>
  <c r="AI16" i="7"/>
  <c r="AH16" i="7"/>
  <c r="AO15" i="7"/>
  <c r="AN15" i="7"/>
  <c r="AM15" i="7"/>
  <c r="AL15" i="7"/>
  <c r="AK15" i="7"/>
  <c r="AJ15" i="7"/>
  <c r="AI15" i="7"/>
  <c r="AH15" i="7"/>
  <c r="AO14" i="7"/>
  <c r="AN14" i="7"/>
  <c r="AM14" i="7"/>
  <c r="AL14" i="7"/>
  <c r="AK14" i="7"/>
  <c r="AJ14" i="7"/>
  <c r="AI14" i="7"/>
  <c r="AH14" i="7"/>
  <c r="AO13" i="7"/>
  <c r="AN13" i="7"/>
  <c r="AM13" i="7"/>
  <c r="AL13" i="7"/>
  <c r="AK13" i="7"/>
  <c r="AJ13" i="7"/>
  <c r="AI13" i="7"/>
  <c r="AH13" i="7"/>
  <c r="AO12" i="7"/>
  <c r="AN12" i="7"/>
  <c r="AM12" i="7"/>
  <c r="AL12" i="7"/>
  <c r="AK12" i="7"/>
  <c r="AJ12" i="7"/>
  <c r="AI12" i="7"/>
  <c r="AH12" i="7"/>
  <c r="AO11" i="7"/>
  <c r="AN11" i="7"/>
  <c r="AM11" i="7"/>
  <c r="AL11" i="7"/>
  <c r="AK11" i="7"/>
  <c r="AJ11" i="7"/>
  <c r="AI11" i="7"/>
  <c r="AH11" i="7"/>
  <c r="AO10" i="7"/>
  <c r="AN10" i="7"/>
  <c r="AM10" i="7"/>
  <c r="AL10" i="7"/>
  <c r="AK10" i="7"/>
  <c r="AJ10" i="7"/>
  <c r="AI10" i="7"/>
  <c r="AH10" i="7"/>
  <c r="AO9" i="7"/>
  <c r="AN9" i="7"/>
  <c r="AM9" i="7"/>
  <c r="AL9" i="7"/>
  <c r="AK9" i="7"/>
  <c r="AJ9" i="7"/>
  <c r="AI9" i="7"/>
  <c r="AH9" i="7"/>
  <c r="AO8" i="7"/>
  <c r="AN8" i="7"/>
  <c r="AM8" i="7"/>
  <c r="AL8" i="7"/>
  <c r="AK8" i="7"/>
  <c r="AJ8" i="7"/>
  <c r="AI8" i="7"/>
  <c r="AH8" i="7"/>
  <c r="AO7" i="7"/>
  <c r="AN7" i="7"/>
  <c r="AM7" i="7"/>
  <c r="AL7" i="7"/>
  <c r="AK7" i="7"/>
  <c r="AJ7" i="7"/>
  <c r="AI7" i="7"/>
  <c r="AH7" i="7"/>
  <c r="AO6" i="7"/>
  <c r="AN6" i="7"/>
  <c r="AM6" i="7"/>
  <c r="AL6" i="7"/>
  <c r="AK6" i="7"/>
  <c r="AJ6" i="7"/>
  <c r="AI6" i="7"/>
  <c r="AI122" i="7" s="1"/>
  <c r="AH6" i="7"/>
  <c r="AE121" i="7"/>
  <c r="AD121" i="7"/>
  <c r="AC121" i="7"/>
  <c r="AB121" i="7"/>
  <c r="AE120" i="7"/>
  <c r="AD120" i="7"/>
  <c r="AC120" i="7"/>
  <c r="AB120" i="7"/>
  <c r="AE119" i="7"/>
  <c r="AD119" i="7"/>
  <c r="AC119" i="7"/>
  <c r="AB119" i="7"/>
  <c r="AE118" i="7"/>
  <c r="AD118" i="7"/>
  <c r="AC118" i="7"/>
  <c r="AB118" i="7"/>
  <c r="AE117" i="7"/>
  <c r="AD117" i="7"/>
  <c r="AC117" i="7"/>
  <c r="AB117" i="7"/>
  <c r="AE116" i="7"/>
  <c r="AD116" i="7"/>
  <c r="AC116" i="7"/>
  <c r="AB116" i="7"/>
  <c r="AE115" i="7"/>
  <c r="AD115" i="7"/>
  <c r="AC115" i="7"/>
  <c r="AB115" i="7"/>
  <c r="AE114" i="7"/>
  <c r="AD114" i="7"/>
  <c r="AC114" i="7"/>
  <c r="AB114" i="7"/>
  <c r="AE113" i="7"/>
  <c r="AD113" i="7"/>
  <c r="AC113" i="7"/>
  <c r="AB113" i="7"/>
  <c r="AE112" i="7"/>
  <c r="AD112" i="7"/>
  <c r="AC112" i="7"/>
  <c r="AB112" i="7"/>
  <c r="AE111" i="7"/>
  <c r="AD111" i="7"/>
  <c r="AC111" i="7"/>
  <c r="AB111" i="7"/>
  <c r="AE110" i="7"/>
  <c r="AD110" i="7"/>
  <c r="AC110" i="7"/>
  <c r="AB110" i="7"/>
  <c r="AE109" i="7"/>
  <c r="AD109" i="7"/>
  <c r="AC109" i="7"/>
  <c r="AB109" i="7"/>
  <c r="AE108" i="7"/>
  <c r="AD108" i="7"/>
  <c r="AC108" i="7"/>
  <c r="AB108" i="7"/>
  <c r="AE107" i="7"/>
  <c r="AD107" i="7"/>
  <c r="AC107" i="7"/>
  <c r="AB107" i="7"/>
  <c r="AE106" i="7"/>
  <c r="AD106" i="7"/>
  <c r="AC106" i="7"/>
  <c r="AB106" i="7"/>
  <c r="AE105" i="7"/>
  <c r="AD105" i="7"/>
  <c r="AC105" i="7"/>
  <c r="AB105" i="7"/>
  <c r="AE104" i="7"/>
  <c r="AD104" i="7"/>
  <c r="AC104" i="7"/>
  <c r="AB104" i="7"/>
  <c r="AE103" i="7"/>
  <c r="AD103" i="7"/>
  <c r="AC103" i="7"/>
  <c r="AB103" i="7"/>
  <c r="AE102" i="7"/>
  <c r="AD102" i="7"/>
  <c r="AC102" i="7"/>
  <c r="AB102" i="7"/>
  <c r="AE101" i="7"/>
  <c r="AD101" i="7"/>
  <c r="AC101" i="7"/>
  <c r="AB101" i="7"/>
  <c r="AE100" i="7"/>
  <c r="AD100" i="7"/>
  <c r="AC100" i="7"/>
  <c r="AB100" i="7"/>
  <c r="AE99" i="7"/>
  <c r="AD99" i="7"/>
  <c r="AC99" i="7"/>
  <c r="AB99" i="7"/>
  <c r="AE98" i="7"/>
  <c r="AD98" i="7"/>
  <c r="AC98" i="7"/>
  <c r="AB98" i="7"/>
  <c r="AE97" i="7"/>
  <c r="AD97" i="7"/>
  <c r="AC97" i="7"/>
  <c r="AB97" i="7"/>
  <c r="AE96" i="7"/>
  <c r="AD96" i="7"/>
  <c r="AC96" i="7"/>
  <c r="AB96" i="7"/>
  <c r="AE95" i="7"/>
  <c r="AD95" i="7"/>
  <c r="AC95" i="7"/>
  <c r="AB95" i="7"/>
  <c r="AE94" i="7"/>
  <c r="AD94" i="7"/>
  <c r="AC94" i="7"/>
  <c r="AB94" i="7"/>
  <c r="AE93" i="7"/>
  <c r="AD93" i="7"/>
  <c r="AC93" i="7"/>
  <c r="AB93" i="7"/>
  <c r="AE92" i="7"/>
  <c r="AD92" i="7"/>
  <c r="AC92" i="7"/>
  <c r="AB92" i="7"/>
  <c r="AE91" i="7"/>
  <c r="AD91" i="7"/>
  <c r="AC91" i="7"/>
  <c r="AB91" i="7"/>
  <c r="AE90" i="7"/>
  <c r="AD90" i="7"/>
  <c r="AC90" i="7"/>
  <c r="AB90" i="7"/>
  <c r="AE89" i="7"/>
  <c r="AD89" i="7"/>
  <c r="AC89" i="7"/>
  <c r="AB89" i="7"/>
  <c r="AE88" i="7"/>
  <c r="AD88" i="7"/>
  <c r="AC88" i="7"/>
  <c r="AB88" i="7"/>
  <c r="AE87" i="7"/>
  <c r="AD87" i="7"/>
  <c r="AC87" i="7"/>
  <c r="AB87" i="7"/>
  <c r="AE86" i="7"/>
  <c r="AD86" i="7"/>
  <c r="AC86" i="7"/>
  <c r="AB86" i="7"/>
  <c r="AE85" i="7"/>
  <c r="AD85" i="7"/>
  <c r="AC85" i="7"/>
  <c r="AB85" i="7"/>
  <c r="AE84" i="7"/>
  <c r="AD84" i="7"/>
  <c r="AC84" i="7"/>
  <c r="AB84" i="7"/>
  <c r="AE83" i="7"/>
  <c r="AD83" i="7"/>
  <c r="AC83" i="7"/>
  <c r="AB83" i="7"/>
  <c r="AE82" i="7"/>
  <c r="AD82" i="7"/>
  <c r="AC82" i="7"/>
  <c r="AB82" i="7"/>
  <c r="AE81" i="7"/>
  <c r="AD81" i="7"/>
  <c r="AC81" i="7"/>
  <c r="AB81" i="7"/>
  <c r="AE80" i="7"/>
  <c r="AD80" i="7"/>
  <c r="AC80" i="7"/>
  <c r="AB80" i="7"/>
  <c r="AE79" i="7"/>
  <c r="AD79" i="7"/>
  <c r="AC79" i="7"/>
  <c r="AB79" i="7"/>
  <c r="AE78" i="7"/>
  <c r="AD78" i="7"/>
  <c r="AC78" i="7"/>
  <c r="AB78" i="7"/>
  <c r="AE77" i="7"/>
  <c r="AD77" i="7"/>
  <c r="AC77" i="7"/>
  <c r="AB77" i="7"/>
  <c r="AE76" i="7"/>
  <c r="AD76" i="7"/>
  <c r="AC76" i="7"/>
  <c r="AB76" i="7"/>
  <c r="AE75" i="7"/>
  <c r="AD75" i="7"/>
  <c r="AC75" i="7"/>
  <c r="AB75" i="7"/>
  <c r="AE74" i="7"/>
  <c r="AD74" i="7"/>
  <c r="AC74" i="7"/>
  <c r="AB74" i="7"/>
  <c r="AE73" i="7"/>
  <c r="AD73" i="7"/>
  <c r="AC73" i="7"/>
  <c r="AB73" i="7"/>
  <c r="AE72" i="7"/>
  <c r="AD72" i="7"/>
  <c r="AC72" i="7"/>
  <c r="AB72" i="7"/>
  <c r="AE71" i="7"/>
  <c r="AD71" i="7"/>
  <c r="AC71" i="7"/>
  <c r="AB71" i="7"/>
  <c r="AE70" i="7"/>
  <c r="AD70" i="7"/>
  <c r="AC70" i="7"/>
  <c r="AB70" i="7"/>
  <c r="AE69" i="7"/>
  <c r="AD69" i="7"/>
  <c r="AC69" i="7"/>
  <c r="AB69" i="7"/>
  <c r="AE68" i="7"/>
  <c r="AD68" i="7"/>
  <c r="AC68" i="7"/>
  <c r="AB68" i="7"/>
  <c r="AE67" i="7"/>
  <c r="AD67" i="7"/>
  <c r="AC67" i="7"/>
  <c r="AB67" i="7"/>
  <c r="AE66" i="7"/>
  <c r="AD66" i="7"/>
  <c r="AC66" i="7"/>
  <c r="AB66" i="7"/>
  <c r="AE65" i="7"/>
  <c r="AD65" i="7"/>
  <c r="AC65" i="7"/>
  <c r="AB65" i="7"/>
  <c r="AE64" i="7"/>
  <c r="AD64" i="7"/>
  <c r="AC64" i="7"/>
  <c r="AB64" i="7"/>
  <c r="AE63" i="7"/>
  <c r="AD63" i="7"/>
  <c r="AC63" i="7"/>
  <c r="AB63" i="7"/>
  <c r="AE62" i="7"/>
  <c r="AD62" i="7"/>
  <c r="AC62" i="7"/>
  <c r="AB62" i="7"/>
  <c r="AE61" i="7"/>
  <c r="AD61" i="7"/>
  <c r="AC61" i="7"/>
  <c r="AB61" i="7"/>
  <c r="AE60" i="7"/>
  <c r="AD60" i="7"/>
  <c r="AC60" i="7"/>
  <c r="AB60" i="7"/>
  <c r="AE59" i="7"/>
  <c r="AD59" i="7"/>
  <c r="AC59" i="7"/>
  <c r="AB59" i="7"/>
  <c r="AE58" i="7"/>
  <c r="AD58" i="7"/>
  <c r="AC58" i="7"/>
  <c r="AB58" i="7"/>
  <c r="AE57" i="7"/>
  <c r="AD57" i="7"/>
  <c r="AC57" i="7"/>
  <c r="AB57" i="7"/>
  <c r="AE56" i="7"/>
  <c r="AD56" i="7"/>
  <c r="AC56" i="7"/>
  <c r="AB56" i="7"/>
  <c r="AE55" i="7"/>
  <c r="AD55" i="7"/>
  <c r="AC55" i="7"/>
  <c r="AB55" i="7"/>
  <c r="AE54" i="7"/>
  <c r="AD54" i="7"/>
  <c r="AC54" i="7"/>
  <c r="AB54" i="7"/>
  <c r="AE53" i="7"/>
  <c r="AD53" i="7"/>
  <c r="AC53" i="7"/>
  <c r="AB53" i="7"/>
  <c r="AE52" i="7"/>
  <c r="AD52" i="7"/>
  <c r="AC52" i="7"/>
  <c r="AB52" i="7"/>
  <c r="AE51" i="7"/>
  <c r="AD51" i="7"/>
  <c r="AC51" i="7"/>
  <c r="AB51" i="7"/>
  <c r="AE50" i="7"/>
  <c r="AD50" i="7"/>
  <c r="AC50" i="7"/>
  <c r="AB50" i="7"/>
  <c r="AE49" i="7"/>
  <c r="AD49" i="7"/>
  <c r="AC49" i="7"/>
  <c r="AB49" i="7"/>
  <c r="AE48" i="7"/>
  <c r="AD48" i="7"/>
  <c r="AC48" i="7"/>
  <c r="AB48" i="7"/>
  <c r="AE47" i="7"/>
  <c r="AD47" i="7"/>
  <c r="AC47" i="7"/>
  <c r="AB47" i="7"/>
  <c r="AE46" i="7"/>
  <c r="AD46" i="7"/>
  <c r="AC46" i="7"/>
  <c r="AB46" i="7"/>
  <c r="AE45" i="7"/>
  <c r="AD45" i="7"/>
  <c r="AC45" i="7"/>
  <c r="AB45" i="7"/>
  <c r="AE44" i="7"/>
  <c r="AD44" i="7"/>
  <c r="AC44" i="7"/>
  <c r="AB44" i="7"/>
  <c r="AE43" i="7"/>
  <c r="AD43" i="7"/>
  <c r="AC43" i="7"/>
  <c r="AB43" i="7"/>
  <c r="AE42" i="7"/>
  <c r="AD42" i="7"/>
  <c r="AC42" i="7"/>
  <c r="AB42" i="7"/>
  <c r="AE41" i="7"/>
  <c r="AD41" i="7"/>
  <c r="AC41" i="7"/>
  <c r="AB41" i="7"/>
  <c r="AE40" i="7"/>
  <c r="AD40" i="7"/>
  <c r="AC40" i="7"/>
  <c r="AB40" i="7"/>
  <c r="AE39" i="7"/>
  <c r="AD39" i="7"/>
  <c r="AC39" i="7"/>
  <c r="AB39" i="7"/>
  <c r="AE38" i="7"/>
  <c r="AD38" i="7"/>
  <c r="AC38" i="7"/>
  <c r="AB38" i="7"/>
  <c r="AE37" i="7"/>
  <c r="AD37" i="7"/>
  <c r="AC37" i="7"/>
  <c r="AB37" i="7"/>
  <c r="AE36" i="7"/>
  <c r="AD36" i="7"/>
  <c r="AC36" i="7"/>
  <c r="AB36" i="7"/>
  <c r="AE35" i="7"/>
  <c r="AD35" i="7"/>
  <c r="AC35" i="7"/>
  <c r="AB35" i="7"/>
  <c r="AE34" i="7"/>
  <c r="AD34" i="7"/>
  <c r="AC34" i="7"/>
  <c r="AB34" i="7"/>
  <c r="AE33" i="7"/>
  <c r="AD33" i="7"/>
  <c r="AC33" i="7"/>
  <c r="AB33" i="7"/>
  <c r="AE32" i="7"/>
  <c r="AD32" i="7"/>
  <c r="AC32" i="7"/>
  <c r="AB32" i="7"/>
  <c r="AE31" i="7"/>
  <c r="AD31" i="7"/>
  <c r="AC31" i="7"/>
  <c r="AB31" i="7"/>
  <c r="AE30" i="7"/>
  <c r="AD30" i="7"/>
  <c r="AC30" i="7"/>
  <c r="AB30" i="7"/>
  <c r="AE29" i="7"/>
  <c r="AD29" i="7"/>
  <c r="AC29" i="7"/>
  <c r="AB29" i="7"/>
  <c r="AE28" i="7"/>
  <c r="AD28" i="7"/>
  <c r="AC28" i="7"/>
  <c r="AB28" i="7"/>
  <c r="AE27" i="7"/>
  <c r="AD27" i="7"/>
  <c r="AC27" i="7"/>
  <c r="AB27" i="7"/>
  <c r="AE26" i="7"/>
  <c r="AD26" i="7"/>
  <c r="AC26" i="7"/>
  <c r="AB26" i="7"/>
  <c r="AE25" i="7"/>
  <c r="AD25" i="7"/>
  <c r="AC25" i="7"/>
  <c r="AB25" i="7"/>
  <c r="AE24" i="7"/>
  <c r="AD24" i="7"/>
  <c r="AC24" i="7"/>
  <c r="AB24" i="7"/>
  <c r="AE23" i="7"/>
  <c r="AD23" i="7"/>
  <c r="AC23" i="7"/>
  <c r="AB23" i="7"/>
  <c r="AE22" i="7"/>
  <c r="AD22" i="7"/>
  <c r="AC22" i="7"/>
  <c r="AB22" i="7"/>
  <c r="AE21" i="7"/>
  <c r="AD21" i="7"/>
  <c r="AC21" i="7"/>
  <c r="AB21" i="7"/>
  <c r="AE20" i="7"/>
  <c r="AD20" i="7"/>
  <c r="AC20" i="7"/>
  <c r="AB20" i="7"/>
  <c r="AE19" i="7"/>
  <c r="AD19" i="7"/>
  <c r="AC19" i="7"/>
  <c r="AB19" i="7"/>
  <c r="AE18" i="7"/>
  <c r="AD18" i="7"/>
  <c r="AC18" i="7"/>
  <c r="AB18" i="7"/>
  <c r="AE17" i="7"/>
  <c r="AD17" i="7"/>
  <c r="AC17" i="7"/>
  <c r="AB17" i="7"/>
  <c r="AE16" i="7"/>
  <c r="AD16" i="7"/>
  <c r="AC16" i="7"/>
  <c r="AB16" i="7"/>
  <c r="AE15" i="7"/>
  <c r="AD15" i="7"/>
  <c r="AC15" i="7"/>
  <c r="AB15" i="7"/>
  <c r="AE14" i="7"/>
  <c r="AD14" i="7"/>
  <c r="AC14" i="7"/>
  <c r="AB14" i="7"/>
  <c r="AE13" i="7"/>
  <c r="AD13" i="7"/>
  <c r="AC13" i="7"/>
  <c r="AB13" i="7"/>
  <c r="AE12" i="7"/>
  <c r="AD12" i="7"/>
  <c r="AC12" i="7"/>
  <c r="AB12" i="7"/>
  <c r="AE11" i="7"/>
  <c r="AD11" i="7"/>
  <c r="AC11" i="7"/>
  <c r="AB11" i="7"/>
  <c r="AE10" i="7"/>
  <c r="AD10" i="7"/>
  <c r="AC10" i="7"/>
  <c r="AB10" i="7"/>
  <c r="AE9" i="7"/>
  <c r="AD9" i="7"/>
  <c r="AC9" i="7"/>
  <c r="AB9" i="7"/>
  <c r="AE8" i="7"/>
  <c r="AD8" i="7"/>
  <c r="AC8" i="7"/>
  <c r="AB8" i="7"/>
  <c r="AE7" i="7"/>
  <c r="AD7" i="7"/>
  <c r="AC7" i="7"/>
  <c r="AB7" i="7"/>
  <c r="AE6" i="7"/>
  <c r="AD6" i="7"/>
  <c r="AC6" i="7"/>
  <c r="AB6" i="7"/>
  <c r="W121" i="7"/>
  <c r="V121" i="7"/>
  <c r="U121" i="7"/>
  <c r="T121" i="7"/>
  <c r="S121" i="7"/>
  <c r="R121" i="7"/>
  <c r="Q121" i="7"/>
  <c r="P121" i="7"/>
  <c r="W120" i="7"/>
  <c r="V120" i="7"/>
  <c r="U120" i="7"/>
  <c r="T120" i="7"/>
  <c r="S120" i="7"/>
  <c r="R120" i="7"/>
  <c r="Q120" i="7"/>
  <c r="P120" i="7"/>
  <c r="W119" i="7"/>
  <c r="V119" i="7"/>
  <c r="U119" i="7"/>
  <c r="T119" i="7"/>
  <c r="S119" i="7"/>
  <c r="R119" i="7"/>
  <c r="Q119" i="7"/>
  <c r="P119" i="7"/>
  <c r="W118" i="7"/>
  <c r="V118" i="7"/>
  <c r="U118" i="7"/>
  <c r="T118" i="7"/>
  <c r="S118" i="7"/>
  <c r="R118" i="7"/>
  <c r="Q118" i="7"/>
  <c r="P118" i="7"/>
  <c r="W117" i="7"/>
  <c r="V117" i="7"/>
  <c r="U117" i="7"/>
  <c r="T117" i="7"/>
  <c r="S117" i="7"/>
  <c r="R117" i="7"/>
  <c r="Q117" i="7"/>
  <c r="P117" i="7"/>
  <c r="W116" i="7"/>
  <c r="V116" i="7"/>
  <c r="U116" i="7"/>
  <c r="T116" i="7"/>
  <c r="S116" i="7"/>
  <c r="R116" i="7"/>
  <c r="Q116" i="7"/>
  <c r="P116" i="7"/>
  <c r="W115" i="7"/>
  <c r="V115" i="7"/>
  <c r="U115" i="7"/>
  <c r="T115" i="7"/>
  <c r="S115" i="7"/>
  <c r="R115" i="7"/>
  <c r="Q115" i="7"/>
  <c r="P115" i="7"/>
  <c r="W114" i="7"/>
  <c r="V114" i="7"/>
  <c r="U114" i="7"/>
  <c r="T114" i="7"/>
  <c r="S114" i="7"/>
  <c r="R114" i="7"/>
  <c r="Q114" i="7"/>
  <c r="P114" i="7"/>
  <c r="W113" i="7"/>
  <c r="V113" i="7"/>
  <c r="U113" i="7"/>
  <c r="T113" i="7"/>
  <c r="S113" i="7"/>
  <c r="R113" i="7"/>
  <c r="Q113" i="7"/>
  <c r="P113" i="7"/>
  <c r="W112" i="7"/>
  <c r="V112" i="7"/>
  <c r="U112" i="7"/>
  <c r="T112" i="7"/>
  <c r="S112" i="7"/>
  <c r="R112" i="7"/>
  <c r="Q112" i="7"/>
  <c r="P112" i="7"/>
  <c r="W111" i="7"/>
  <c r="V111" i="7"/>
  <c r="U111" i="7"/>
  <c r="T111" i="7"/>
  <c r="S111" i="7"/>
  <c r="R111" i="7"/>
  <c r="Q111" i="7"/>
  <c r="P111" i="7"/>
  <c r="W110" i="7"/>
  <c r="V110" i="7"/>
  <c r="U110" i="7"/>
  <c r="T110" i="7"/>
  <c r="S110" i="7"/>
  <c r="R110" i="7"/>
  <c r="Q110" i="7"/>
  <c r="P110" i="7"/>
  <c r="W109" i="7"/>
  <c r="V109" i="7"/>
  <c r="U109" i="7"/>
  <c r="T109" i="7"/>
  <c r="S109" i="7"/>
  <c r="R109" i="7"/>
  <c r="Q109" i="7"/>
  <c r="P109" i="7"/>
  <c r="W108" i="7"/>
  <c r="V108" i="7"/>
  <c r="U108" i="7"/>
  <c r="T108" i="7"/>
  <c r="S108" i="7"/>
  <c r="R108" i="7"/>
  <c r="Q108" i="7"/>
  <c r="P108" i="7"/>
  <c r="W107" i="7"/>
  <c r="V107" i="7"/>
  <c r="U107" i="7"/>
  <c r="T107" i="7"/>
  <c r="S107" i="7"/>
  <c r="R107" i="7"/>
  <c r="Q107" i="7"/>
  <c r="P107" i="7"/>
  <c r="W106" i="7"/>
  <c r="V106" i="7"/>
  <c r="U106" i="7"/>
  <c r="T106" i="7"/>
  <c r="S106" i="7"/>
  <c r="R106" i="7"/>
  <c r="Q106" i="7"/>
  <c r="P106" i="7"/>
  <c r="W105" i="7"/>
  <c r="V105" i="7"/>
  <c r="U105" i="7"/>
  <c r="T105" i="7"/>
  <c r="S105" i="7"/>
  <c r="R105" i="7"/>
  <c r="Q105" i="7"/>
  <c r="P105" i="7"/>
  <c r="W104" i="7"/>
  <c r="V104" i="7"/>
  <c r="U104" i="7"/>
  <c r="T104" i="7"/>
  <c r="S104" i="7"/>
  <c r="R104" i="7"/>
  <c r="Q104" i="7"/>
  <c r="P104" i="7"/>
  <c r="W103" i="7"/>
  <c r="V103" i="7"/>
  <c r="U103" i="7"/>
  <c r="T103" i="7"/>
  <c r="S103" i="7"/>
  <c r="R103" i="7"/>
  <c r="Q103" i="7"/>
  <c r="P103" i="7"/>
  <c r="W102" i="7"/>
  <c r="V102" i="7"/>
  <c r="U102" i="7"/>
  <c r="T102" i="7"/>
  <c r="S102" i="7"/>
  <c r="R102" i="7"/>
  <c r="Q102" i="7"/>
  <c r="P102" i="7"/>
  <c r="W101" i="7"/>
  <c r="V101" i="7"/>
  <c r="U101" i="7"/>
  <c r="T101" i="7"/>
  <c r="S101" i="7"/>
  <c r="R101" i="7"/>
  <c r="Q101" i="7"/>
  <c r="P101" i="7"/>
  <c r="W100" i="7"/>
  <c r="V100" i="7"/>
  <c r="U100" i="7"/>
  <c r="T100" i="7"/>
  <c r="S100" i="7"/>
  <c r="R100" i="7"/>
  <c r="Q100" i="7"/>
  <c r="P100" i="7"/>
  <c r="W99" i="7"/>
  <c r="V99" i="7"/>
  <c r="U99" i="7"/>
  <c r="T99" i="7"/>
  <c r="S99" i="7"/>
  <c r="R99" i="7"/>
  <c r="Q99" i="7"/>
  <c r="P99" i="7"/>
  <c r="W98" i="7"/>
  <c r="V98" i="7"/>
  <c r="U98" i="7"/>
  <c r="T98" i="7"/>
  <c r="S98" i="7"/>
  <c r="R98" i="7"/>
  <c r="Q98" i="7"/>
  <c r="P98" i="7"/>
  <c r="W97" i="7"/>
  <c r="V97" i="7"/>
  <c r="U97" i="7"/>
  <c r="T97" i="7"/>
  <c r="S97" i="7"/>
  <c r="R97" i="7"/>
  <c r="Q97" i="7"/>
  <c r="P97" i="7"/>
  <c r="W96" i="7"/>
  <c r="V96" i="7"/>
  <c r="U96" i="7"/>
  <c r="T96" i="7"/>
  <c r="S96" i="7"/>
  <c r="R96" i="7"/>
  <c r="Q96" i="7"/>
  <c r="P96" i="7"/>
  <c r="W95" i="7"/>
  <c r="V95" i="7"/>
  <c r="U95" i="7"/>
  <c r="T95" i="7"/>
  <c r="S95" i="7"/>
  <c r="R95" i="7"/>
  <c r="Q95" i="7"/>
  <c r="P95" i="7"/>
  <c r="W94" i="7"/>
  <c r="V94" i="7"/>
  <c r="U94" i="7"/>
  <c r="T94" i="7"/>
  <c r="S94" i="7"/>
  <c r="R94" i="7"/>
  <c r="Q94" i="7"/>
  <c r="P94" i="7"/>
  <c r="W93" i="7"/>
  <c r="V93" i="7"/>
  <c r="U93" i="7"/>
  <c r="T93" i="7"/>
  <c r="S93" i="7"/>
  <c r="R93" i="7"/>
  <c r="Q93" i="7"/>
  <c r="P93" i="7"/>
  <c r="W92" i="7"/>
  <c r="V92" i="7"/>
  <c r="U92" i="7"/>
  <c r="T92" i="7"/>
  <c r="S92" i="7"/>
  <c r="R92" i="7"/>
  <c r="Q92" i="7"/>
  <c r="P92" i="7"/>
  <c r="W91" i="7"/>
  <c r="V91" i="7"/>
  <c r="U91" i="7"/>
  <c r="T91" i="7"/>
  <c r="S91" i="7"/>
  <c r="R91" i="7"/>
  <c r="Q91" i="7"/>
  <c r="P91" i="7"/>
  <c r="W90" i="7"/>
  <c r="V90" i="7"/>
  <c r="U90" i="7"/>
  <c r="T90" i="7"/>
  <c r="S90" i="7"/>
  <c r="R90" i="7"/>
  <c r="Q90" i="7"/>
  <c r="P90" i="7"/>
  <c r="W89" i="7"/>
  <c r="V89" i="7"/>
  <c r="U89" i="7"/>
  <c r="T89" i="7"/>
  <c r="S89" i="7"/>
  <c r="R89" i="7"/>
  <c r="Q89" i="7"/>
  <c r="P89" i="7"/>
  <c r="W88" i="7"/>
  <c r="V88" i="7"/>
  <c r="U88" i="7"/>
  <c r="T88" i="7"/>
  <c r="S88" i="7"/>
  <c r="R88" i="7"/>
  <c r="Q88" i="7"/>
  <c r="P88" i="7"/>
  <c r="W87" i="7"/>
  <c r="V87" i="7"/>
  <c r="U87" i="7"/>
  <c r="T87" i="7"/>
  <c r="S87" i="7"/>
  <c r="R87" i="7"/>
  <c r="Q87" i="7"/>
  <c r="P87" i="7"/>
  <c r="W86" i="7"/>
  <c r="V86" i="7"/>
  <c r="U86" i="7"/>
  <c r="T86" i="7"/>
  <c r="S86" i="7"/>
  <c r="R86" i="7"/>
  <c r="Q86" i="7"/>
  <c r="P86" i="7"/>
  <c r="W85" i="7"/>
  <c r="V85" i="7"/>
  <c r="U85" i="7"/>
  <c r="T85" i="7"/>
  <c r="S85" i="7"/>
  <c r="R85" i="7"/>
  <c r="Q85" i="7"/>
  <c r="P85" i="7"/>
  <c r="W84" i="7"/>
  <c r="V84" i="7"/>
  <c r="U84" i="7"/>
  <c r="T84" i="7"/>
  <c r="S84" i="7"/>
  <c r="R84" i="7"/>
  <c r="Q84" i="7"/>
  <c r="P84" i="7"/>
  <c r="W83" i="7"/>
  <c r="V83" i="7"/>
  <c r="U83" i="7"/>
  <c r="T83" i="7"/>
  <c r="S83" i="7"/>
  <c r="R83" i="7"/>
  <c r="Q83" i="7"/>
  <c r="P83" i="7"/>
  <c r="W82" i="7"/>
  <c r="V82" i="7"/>
  <c r="U82" i="7"/>
  <c r="T82" i="7"/>
  <c r="S82" i="7"/>
  <c r="R82" i="7"/>
  <c r="Q82" i="7"/>
  <c r="P82" i="7"/>
  <c r="W81" i="7"/>
  <c r="V81" i="7"/>
  <c r="U81" i="7"/>
  <c r="T81" i="7"/>
  <c r="S81" i="7"/>
  <c r="R81" i="7"/>
  <c r="Q81" i="7"/>
  <c r="P81" i="7"/>
  <c r="W80" i="7"/>
  <c r="V80" i="7"/>
  <c r="U80" i="7"/>
  <c r="T80" i="7"/>
  <c r="S80" i="7"/>
  <c r="R80" i="7"/>
  <c r="Q80" i="7"/>
  <c r="P80" i="7"/>
  <c r="W79" i="7"/>
  <c r="V79" i="7"/>
  <c r="U79" i="7"/>
  <c r="T79" i="7"/>
  <c r="S79" i="7"/>
  <c r="R79" i="7"/>
  <c r="Q79" i="7"/>
  <c r="P79" i="7"/>
  <c r="W78" i="7"/>
  <c r="V78" i="7"/>
  <c r="U78" i="7"/>
  <c r="T78" i="7"/>
  <c r="S78" i="7"/>
  <c r="R78" i="7"/>
  <c r="Q78" i="7"/>
  <c r="P78" i="7"/>
  <c r="W77" i="7"/>
  <c r="V77" i="7"/>
  <c r="U77" i="7"/>
  <c r="T77" i="7"/>
  <c r="S77" i="7"/>
  <c r="R77" i="7"/>
  <c r="Q77" i="7"/>
  <c r="P77" i="7"/>
  <c r="W76" i="7"/>
  <c r="V76" i="7"/>
  <c r="U76" i="7"/>
  <c r="T76" i="7"/>
  <c r="S76" i="7"/>
  <c r="R76" i="7"/>
  <c r="Q76" i="7"/>
  <c r="P76" i="7"/>
  <c r="W75" i="7"/>
  <c r="V75" i="7"/>
  <c r="U75" i="7"/>
  <c r="T75" i="7"/>
  <c r="S75" i="7"/>
  <c r="R75" i="7"/>
  <c r="Q75" i="7"/>
  <c r="P75" i="7"/>
  <c r="W74" i="7"/>
  <c r="V74" i="7"/>
  <c r="U74" i="7"/>
  <c r="T74" i="7"/>
  <c r="S74" i="7"/>
  <c r="R74" i="7"/>
  <c r="Q74" i="7"/>
  <c r="P74" i="7"/>
  <c r="W73" i="7"/>
  <c r="V73" i="7"/>
  <c r="U73" i="7"/>
  <c r="T73" i="7"/>
  <c r="S73" i="7"/>
  <c r="R73" i="7"/>
  <c r="Q73" i="7"/>
  <c r="P73" i="7"/>
  <c r="W72" i="7"/>
  <c r="V72" i="7"/>
  <c r="U72" i="7"/>
  <c r="T72" i="7"/>
  <c r="S72" i="7"/>
  <c r="R72" i="7"/>
  <c r="Q72" i="7"/>
  <c r="P72" i="7"/>
  <c r="W71" i="7"/>
  <c r="V71" i="7"/>
  <c r="U71" i="7"/>
  <c r="T71" i="7"/>
  <c r="S71" i="7"/>
  <c r="R71" i="7"/>
  <c r="Q71" i="7"/>
  <c r="P71" i="7"/>
  <c r="W70" i="7"/>
  <c r="V70" i="7"/>
  <c r="U70" i="7"/>
  <c r="T70" i="7"/>
  <c r="S70" i="7"/>
  <c r="R70" i="7"/>
  <c r="Q70" i="7"/>
  <c r="P70" i="7"/>
  <c r="W69" i="7"/>
  <c r="V69" i="7"/>
  <c r="U69" i="7"/>
  <c r="T69" i="7"/>
  <c r="S69" i="7"/>
  <c r="R69" i="7"/>
  <c r="Q69" i="7"/>
  <c r="P69" i="7"/>
  <c r="W68" i="7"/>
  <c r="V68" i="7"/>
  <c r="U68" i="7"/>
  <c r="T68" i="7"/>
  <c r="S68" i="7"/>
  <c r="R68" i="7"/>
  <c r="Q68" i="7"/>
  <c r="P68" i="7"/>
  <c r="W67" i="7"/>
  <c r="V67" i="7"/>
  <c r="U67" i="7"/>
  <c r="T67" i="7"/>
  <c r="S67" i="7"/>
  <c r="R67" i="7"/>
  <c r="Q67" i="7"/>
  <c r="P67" i="7"/>
  <c r="W66" i="7"/>
  <c r="V66" i="7"/>
  <c r="U66" i="7"/>
  <c r="T66" i="7"/>
  <c r="S66" i="7"/>
  <c r="R66" i="7"/>
  <c r="Q66" i="7"/>
  <c r="P66" i="7"/>
  <c r="W65" i="7"/>
  <c r="V65" i="7"/>
  <c r="U65" i="7"/>
  <c r="T65" i="7"/>
  <c r="S65" i="7"/>
  <c r="R65" i="7"/>
  <c r="Q65" i="7"/>
  <c r="P65" i="7"/>
  <c r="W64" i="7"/>
  <c r="V64" i="7"/>
  <c r="U64" i="7"/>
  <c r="T64" i="7"/>
  <c r="S64" i="7"/>
  <c r="R64" i="7"/>
  <c r="Q64" i="7"/>
  <c r="P64" i="7"/>
  <c r="W63" i="7"/>
  <c r="V63" i="7"/>
  <c r="U63" i="7"/>
  <c r="T63" i="7"/>
  <c r="S63" i="7"/>
  <c r="R63" i="7"/>
  <c r="Q63" i="7"/>
  <c r="P63" i="7"/>
  <c r="W62" i="7"/>
  <c r="V62" i="7"/>
  <c r="U62" i="7"/>
  <c r="T62" i="7"/>
  <c r="S62" i="7"/>
  <c r="R62" i="7"/>
  <c r="Q62" i="7"/>
  <c r="P62" i="7"/>
  <c r="W61" i="7"/>
  <c r="V61" i="7"/>
  <c r="U61" i="7"/>
  <c r="T61" i="7"/>
  <c r="S61" i="7"/>
  <c r="R61" i="7"/>
  <c r="Q61" i="7"/>
  <c r="P61" i="7"/>
  <c r="W60" i="7"/>
  <c r="V60" i="7"/>
  <c r="U60" i="7"/>
  <c r="T60" i="7"/>
  <c r="S60" i="7"/>
  <c r="R60" i="7"/>
  <c r="Q60" i="7"/>
  <c r="P60" i="7"/>
  <c r="W59" i="7"/>
  <c r="V59" i="7"/>
  <c r="U59" i="7"/>
  <c r="T59" i="7"/>
  <c r="S59" i="7"/>
  <c r="R59" i="7"/>
  <c r="Q59" i="7"/>
  <c r="P59" i="7"/>
  <c r="W58" i="7"/>
  <c r="V58" i="7"/>
  <c r="U58" i="7"/>
  <c r="T58" i="7"/>
  <c r="S58" i="7"/>
  <c r="R58" i="7"/>
  <c r="Q58" i="7"/>
  <c r="P58" i="7"/>
  <c r="W57" i="7"/>
  <c r="V57" i="7"/>
  <c r="U57" i="7"/>
  <c r="T57" i="7"/>
  <c r="S57" i="7"/>
  <c r="R57" i="7"/>
  <c r="Q57" i="7"/>
  <c r="P57" i="7"/>
  <c r="W56" i="7"/>
  <c r="V56" i="7"/>
  <c r="U56" i="7"/>
  <c r="T56" i="7"/>
  <c r="S56" i="7"/>
  <c r="R56" i="7"/>
  <c r="Q56" i="7"/>
  <c r="P56" i="7"/>
  <c r="W55" i="7"/>
  <c r="V55" i="7"/>
  <c r="U55" i="7"/>
  <c r="T55" i="7"/>
  <c r="S55" i="7"/>
  <c r="R55" i="7"/>
  <c r="Q55" i="7"/>
  <c r="P55" i="7"/>
  <c r="W54" i="7"/>
  <c r="V54" i="7"/>
  <c r="U54" i="7"/>
  <c r="T54" i="7"/>
  <c r="S54" i="7"/>
  <c r="R54" i="7"/>
  <c r="Q54" i="7"/>
  <c r="P54" i="7"/>
  <c r="W53" i="7"/>
  <c r="V53" i="7"/>
  <c r="U53" i="7"/>
  <c r="T53" i="7"/>
  <c r="S53" i="7"/>
  <c r="R53" i="7"/>
  <c r="Q53" i="7"/>
  <c r="P53" i="7"/>
  <c r="W52" i="7"/>
  <c r="V52" i="7"/>
  <c r="U52" i="7"/>
  <c r="T52" i="7"/>
  <c r="S52" i="7"/>
  <c r="R52" i="7"/>
  <c r="Q52" i="7"/>
  <c r="P52" i="7"/>
  <c r="W51" i="7"/>
  <c r="V51" i="7"/>
  <c r="U51" i="7"/>
  <c r="T51" i="7"/>
  <c r="S51" i="7"/>
  <c r="R51" i="7"/>
  <c r="Q51" i="7"/>
  <c r="P51" i="7"/>
  <c r="W50" i="7"/>
  <c r="V50" i="7"/>
  <c r="U50" i="7"/>
  <c r="T50" i="7"/>
  <c r="S50" i="7"/>
  <c r="R50" i="7"/>
  <c r="Q50" i="7"/>
  <c r="P50" i="7"/>
  <c r="W49" i="7"/>
  <c r="V49" i="7"/>
  <c r="U49" i="7"/>
  <c r="T49" i="7"/>
  <c r="S49" i="7"/>
  <c r="R49" i="7"/>
  <c r="Q49" i="7"/>
  <c r="P49" i="7"/>
  <c r="W48" i="7"/>
  <c r="V48" i="7"/>
  <c r="U48" i="7"/>
  <c r="T48" i="7"/>
  <c r="S48" i="7"/>
  <c r="R48" i="7"/>
  <c r="Q48" i="7"/>
  <c r="P48" i="7"/>
  <c r="W47" i="7"/>
  <c r="V47" i="7"/>
  <c r="U47" i="7"/>
  <c r="T47" i="7"/>
  <c r="S47" i="7"/>
  <c r="R47" i="7"/>
  <c r="Q47" i="7"/>
  <c r="P47" i="7"/>
  <c r="W46" i="7"/>
  <c r="V46" i="7"/>
  <c r="U46" i="7"/>
  <c r="T46" i="7"/>
  <c r="S46" i="7"/>
  <c r="R46" i="7"/>
  <c r="Q46" i="7"/>
  <c r="P46" i="7"/>
  <c r="W45" i="7"/>
  <c r="V45" i="7"/>
  <c r="U45" i="7"/>
  <c r="T45" i="7"/>
  <c r="S45" i="7"/>
  <c r="R45" i="7"/>
  <c r="Q45" i="7"/>
  <c r="P45" i="7"/>
  <c r="W44" i="7"/>
  <c r="V44" i="7"/>
  <c r="U44" i="7"/>
  <c r="T44" i="7"/>
  <c r="S44" i="7"/>
  <c r="R44" i="7"/>
  <c r="Q44" i="7"/>
  <c r="P44" i="7"/>
  <c r="W43" i="7"/>
  <c r="V43" i="7"/>
  <c r="U43" i="7"/>
  <c r="T43" i="7"/>
  <c r="S43" i="7"/>
  <c r="R43" i="7"/>
  <c r="Q43" i="7"/>
  <c r="P43" i="7"/>
  <c r="W42" i="7"/>
  <c r="V42" i="7"/>
  <c r="U42" i="7"/>
  <c r="T42" i="7"/>
  <c r="S42" i="7"/>
  <c r="R42" i="7"/>
  <c r="Q42" i="7"/>
  <c r="P42" i="7"/>
  <c r="W41" i="7"/>
  <c r="V41" i="7"/>
  <c r="U41" i="7"/>
  <c r="T41" i="7"/>
  <c r="S41" i="7"/>
  <c r="R41" i="7"/>
  <c r="Q41" i="7"/>
  <c r="P41" i="7"/>
  <c r="W40" i="7"/>
  <c r="V40" i="7"/>
  <c r="U40" i="7"/>
  <c r="T40" i="7"/>
  <c r="S40" i="7"/>
  <c r="R40" i="7"/>
  <c r="Q40" i="7"/>
  <c r="P40" i="7"/>
  <c r="W39" i="7"/>
  <c r="V39" i="7"/>
  <c r="U39" i="7"/>
  <c r="T39" i="7"/>
  <c r="S39" i="7"/>
  <c r="R39" i="7"/>
  <c r="Q39" i="7"/>
  <c r="P39" i="7"/>
  <c r="W38" i="7"/>
  <c r="V38" i="7"/>
  <c r="U38" i="7"/>
  <c r="T38" i="7"/>
  <c r="S38" i="7"/>
  <c r="R38" i="7"/>
  <c r="Q38" i="7"/>
  <c r="P38" i="7"/>
  <c r="W37" i="7"/>
  <c r="V37" i="7"/>
  <c r="U37" i="7"/>
  <c r="T37" i="7"/>
  <c r="S37" i="7"/>
  <c r="R37" i="7"/>
  <c r="Q37" i="7"/>
  <c r="P37" i="7"/>
  <c r="W36" i="7"/>
  <c r="V36" i="7"/>
  <c r="U36" i="7"/>
  <c r="T36" i="7"/>
  <c r="S36" i="7"/>
  <c r="R36" i="7"/>
  <c r="Q36" i="7"/>
  <c r="P36" i="7"/>
  <c r="W35" i="7"/>
  <c r="V35" i="7"/>
  <c r="U35" i="7"/>
  <c r="T35" i="7"/>
  <c r="S35" i="7"/>
  <c r="R35" i="7"/>
  <c r="Q35" i="7"/>
  <c r="P35" i="7"/>
  <c r="W34" i="7"/>
  <c r="V34" i="7"/>
  <c r="U34" i="7"/>
  <c r="T34" i="7"/>
  <c r="S34" i="7"/>
  <c r="R34" i="7"/>
  <c r="Q34" i="7"/>
  <c r="P34" i="7"/>
  <c r="W33" i="7"/>
  <c r="V33" i="7"/>
  <c r="U33" i="7"/>
  <c r="T33" i="7"/>
  <c r="S33" i="7"/>
  <c r="R33" i="7"/>
  <c r="Q33" i="7"/>
  <c r="P33" i="7"/>
  <c r="W32" i="7"/>
  <c r="V32" i="7"/>
  <c r="U32" i="7"/>
  <c r="T32" i="7"/>
  <c r="S32" i="7"/>
  <c r="R32" i="7"/>
  <c r="Q32" i="7"/>
  <c r="P32" i="7"/>
  <c r="W31" i="7"/>
  <c r="V31" i="7"/>
  <c r="U31" i="7"/>
  <c r="T31" i="7"/>
  <c r="S31" i="7"/>
  <c r="R31" i="7"/>
  <c r="Q31" i="7"/>
  <c r="P31" i="7"/>
  <c r="W30" i="7"/>
  <c r="V30" i="7"/>
  <c r="U30" i="7"/>
  <c r="T30" i="7"/>
  <c r="S30" i="7"/>
  <c r="R30" i="7"/>
  <c r="Q30" i="7"/>
  <c r="P30" i="7"/>
  <c r="W29" i="7"/>
  <c r="V29" i="7"/>
  <c r="U29" i="7"/>
  <c r="T29" i="7"/>
  <c r="S29" i="7"/>
  <c r="R29" i="7"/>
  <c r="Q29" i="7"/>
  <c r="P29" i="7"/>
  <c r="W28" i="7"/>
  <c r="V28" i="7"/>
  <c r="U28" i="7"/>
  <c r="T28" i="7"/>
  <c r="S28" i="7"/>
  <c r="R28" i="7"/>
  <c r="Q28" i="7"/>
  <c r="P28" i="7"/>
  <c r="W27" i="7"/>
  <c r="V27" i="7"/>
  <c r="U27" i="7"/>
  <c r="T27" i="7"/>
  <c r="S27" i="7"/>
  <c r="R27" i="7"/>
  <c r="Q27" i="7"/>
  <c r="P27" i="7"/>
  <c r="W26" i="7"/>
  <c r="V26" i="7"/>
  <c r="U26" i="7"/>
  <c r="T26" i="7"/>
  <c r="S26" i="7"/>
  <c r="R26" i="7"/>
  <c r="Q26" i="7"/>
  <c r="P26" i="7"/>
  <c r="W25" i="7"/>
  <c r="V25" i="7"/>
  <c r="U25" i="7"/>
  <c r="T25" i="7"/>
  <c r="S25" i="7"/>
  <c r="R25" i="7"/>
  <c r="Q25" i="7"/>
  <c r="P25" i="7"/>
  <c r="W24" i="7"/>
  <c r="V24" i="7"/>
  <c r="U24" i="7"/>
  <c r="T24" i="7"/>
  <c r="S24" i="7"/>
  <c r="R24" i="7"/>
  <c r="Q24" i="7"/>
  <c r="P24" i="7"/>
  <c r="W23" i="7"/>
  <c r="V23" i="7"/>
  <c r="U23" i="7"/>
  <c r="T23" i="7"/>
  <c r="S23" i="7"/>
  <c r="R23" i="7"/>
  <c r="Q23" i="7"/>
  <c r="P23" i="7"/>
  <c r="W22" i="7"/>
  <c r="V22" i="7"/>
  <c r="U22" i="7"/>
  <c r="T22" i="7"/>
  <c r="S22" i="7"/>
  <c r="R22" i="7"/>
  <c r="Q22" i="7"/>
  <c r="P22" i="7"/>
  <c r="W21" i="7"/>
  <c r="V21" i="7"/>
  <c r="U21" i="7"/>
  <c r="T21" i="7"/>
  <c r="S21" i="7"/>
  <c r="R21" i="7"/>
  <c r="Q21" i="7"/>
  <c r="P21" i="7"/>
  <c r="W20" i="7"/>
  <c r="V20" i="7"/>
  <c r="U20" i="7"/>
  <c r="T20" i="7"/>
  <c r="S20" i="7"/>
  <c r="R20" i="7"/>
  <c r="Q20" i="7"/>
  <c r="P20" i="7"/>
  <c r="W19" i="7"/>
  <c r="V19" i="7"/>
  <c r="U19" i="7"/>
  <c r="T19" i="7"/>
  <c r="S19" i="7"/>
  <c r="R19" i="7"/>
  <c r="Q19" i="7"/>
  <c r="P19" i="7"/>
  <c r="W18" i="7"/>
  <c r="V18" i="7"/>
  <c r="U18" i="7"/>
  <c r="T18" i="7"/>
  <c r="S18" i="7"/>
  <c r="R18" i="7"/>
  <c r="Q18" i="7"/>
  <c r="P18" i="7"/>
  <c r="W17" i="7"/>
  <c r="V17" i="7"/>
  <c r="U17" i="7"/>
  <c r="T17" i="7"/>
  <c r="S17" i="7"/>
  <c r="R17" i="7"/>
  <c r="Q17" i="7"/>
  <c r="P17" i="7"/>
  <c r="W16" i="7"/>
  <c r="V16" i="7"/>
  <c r="U16" i="7"/>
  <c r="T16" i="7"/>
  <c r="S16" i="7"/>
  <c r="R16" i="7"/>
  <c r="Q16" i="7"/>
  <c r="P16" i="7"/>
  <c r="W15" i="7"/>
  <c r="V15" i="7"/>
  <c r="U15" i="7"/>
  <c r="T15" i="7"/>
  <c r="S15" i="7"/>
  <c r="R15" i="7"/>
  <c r="Q15" i="7"/>
  <c r="P15" i="7"/>
  <c r="W14" i="7"/>
  <c r="V14" i="7"/>
  <c r="U14" i="7"/>
  <c r="T14" i="7"/>
  <c r="S14" i="7"/>
  <c r="R14" i="7"/>
  <c r="Q14" i="7"/>
  <c r="P14" i="7"/>
  <c r="W13" i="7"/>
  <c r="V13" i="7"/>
  <c r="U13" i="7"/>
  <c r="T13" i="7"/>
  <c r="S13" i="7"/>
  <c r="R13" i="7"/>
  <c r="Q13" i="7"/>
  <c r="P13" i="7"/>
  <c r="W12" i="7"/>
  <c r="V12" i="7"/>
  <c r="U12" i="7"/>
  <c r="T12" i="7"/>
  <c r="S12" i="7"/>
  <c r="R12" i="7"/>
  <c r="Q12" i="7"/>
  <c r="P12" i="7"/>
  <c r="W11" i="7"/>
  <c r="V11" i="7"/>
  <c r="U11" i="7"/>
  <c r="T11" i="7"/>
  <c r="S11" i="7"/>
  <c r="R11" i="7"/>
  <c r="Q11" i="7"/>
  <c r="P11" i="7"/>
  <c r="W10" i="7"/>
  <c r="V10" i="7"/>
  <c r="U10" i="7"/>
  <c r="T10" i="7"/>
  <c r="S10" i="7"/>
  <c r="R10" i="7"/>
  <c r="Q10" i="7"/>
  <c r="P10" i="7"/>
  <c r="W9" i="7"/>
  <c r="V9" i="7"/>
  <c r="U9" i="7"/>
  <c r="T9" i="7"/>
  <c r="S9" i="7"/>
  <c r="R9" i="7"/>
  <c r="Q9" i="7"/>
  <c r="P9" i="7"/>
  <c r="W8" i="7"/>
  <c r="V8" i="7"/>
  <c r="U8" i="7"/>
  <c r="T8" i="7"/>
  <c r="S8" i="7"/>
  <c r="R8" i="7"/>
  <c r="Q8" i="7"/>
  <c r="P8" i="7"/>
  <c r="W7" i="7"/>
  <c r="V7" i="7"/>
  <c r="U7" i="7"/>
  <c r="T7" i="7"/>
  <c r="S7" i="7"/>
  <c r="R7" i="7"/>
  <c r="Q7" i="7"/>
  <c r="P7" i="7"/>
  <c r="W6" i="7"/>
  <c r="V6" i="7"/>
  <c r="U6" i="7"/>
  <c r="T6" i="7"/>
  <c r="S6" i="7"/>
  <c r="R6" i="7"/>
  <c r="Q6" i="7"/>
  <c r="P6" i="7"/>
  <c r="N121" i="7"/>
  <c r="M121" i="7"/>
  <c r="L121" i="7"/>
  <c r="K121" i="7"/>
  <c r="N120" i="7"/>
  <c r="M120" i="7"/>
  <c r="L120" i="7"/>
  <c r="K120" i="7"/>
  <c r="N119" i="7"/>
  <c r="M119" i="7"/>
  <c r="L119" i="7"/>
  <c r="K119" i="7"/>
  <c r="N118" i="7"/>
  <c r="M118" i="7"/>
  <c r="L118" i="7"/>
  <c r="K118" i="7"/>
  <c r="N117" i="7"/>
  <c r="M117" i="7"/>
  <c r="L117" i="7"/>
  <c r="K117" i="7"/>
  <c r="N116" i="7"/>
  <c r="M116" i="7"/>
  <c r="L116" i="7"/>
  <c r="K116" i="7"/>
  <c r="N115" i="7"/>
  <c r="M115" i="7"/>
  <c r="L115" i="7"/>
  <c r="K115" i="7"/>
  <c r="N114" i="7"/>
  <c r="M114" i="7"/>
  <c r="L114" i="7"/>
  <c r="K114" i="7"/>
  <c r="N113" i="7"/>
  <c r="M113" i="7"/>
  <c r="L113" i="7"/>
  <c r="K113" i="7"/>
  <c r="N112" i="7"/>
  <c r="M112" i="7"/>
  <c r="L112" i="7"/>
  <c r="K112" i="7"/>
  <c r="N111" i="7"/>
  <c r="M111" i="7"/>
  <c r="L111" i="7"/>
  <c r="K111" i="7"/>
  <c r="N110" i="7"/>
  <c r="M110" i="7"/>
  <c r="L110" i="7"/>
  <c r="K110" i="7"/>
  <c r="N109" i="7"/>
  <c r="M109" i="7"/>
  <c r="L109" i="7"/>
  <c r="K109" i="7"/>
  <c r="N108" i="7"/>
  <c r="M108" i="7"/>
  <c r="L108" i="7"/>
  <c r="K108" i="7"/>
  <c r="N107" i="7"/>
  <c r="M107" i="7"/>
  <c r="L107" i="7"/>
  <c r="K107" i="7"/>
  <c r="N106" i="7"/>
  <c r="M106" i="7"/>
  <c r="L106" i="7"/>
  <c r="K106" i="7"/>
  <c r="N105" i="7"/>
  <c r="M105" i="7"/>
  <c r="L105" i="7"/>
  <c r="K105" i="7"/>
  <c r="N104" i="7"/>
  <c r="M104" i="7"/>
  <c r="L104" i="7"/>
  <c r="K104" i="7"/>
  <c r="N103" i="7"/>
  <c r="M103" i="7"/>
  <c r="L103" i="7"/>
  <c r="K103" i="7"/>
  <c r="N102" i="7"/>
  <c r="M102" i="7"/>
  <c r="L102" i="7"/>
  <c r="K102" i="7"/>
  <c r="N101" i="7"/>
  <c r="M101" i="7"/>
  <c r="L101" i="7"/>
  <c r="K101" i="7"/>
  <c r="N100" i="7"/>
  <c r="M100" i="7"/>
  <c r="L100" i="7"/>
  <c r="K100" i="7"/>
  <c r="N99" i="7"/>
  <c r="M99" i="7"/>
  <c r="L99" i="7"/>
  <c r="K99" i="7"/>
  <c r="N98" i="7"/>
  <c r="M98" i="7"/>
  <c r="L98" i="7"/>
  <c r="K98" i="7"/>
  <c r="N97" i="7"/>
  <c r="M97" i="7"/>
  <c r="L97" i="7"/>
  <c r="K97" i="7"/>
  <c r="N96" i="7"/>
  <c r="M96" i="7"/>
  <c r="L96" i="7"/>
  <c r="K96" i="7"/>
  <c r="N95" i="7"/>
  <c r="M95" i="7"/>
  <c r="L95" i="7"/>
  <c r="K95" i="7"/>
  <c r="N94" i="7"/>
  <c r="M94" i="7"/>
  <c r="L94" i="7"/>
  <c r="K94" i="7"/>
  <c r="N93" i="7"/>
  <c r="M93" i="7"/>
  <c r="L93" i="7"/>
  <c r="K93" i="7"/>
  <c r="N92" i="7"/>
  <c r="M92" i="7"/>
  <c r="L92" i="7"/>
  <c r="K92" i="7"/>
  <c r="N91" i="7"/>
  <c r="M91" i="7"/>
  <c r="L91" i="7"/>
  <c r="K91" i="7"/>
  <c r="N90" i="7"/>
  <c r="M90" i="7"/>
  <c r="L90" i="7"/>
  <c r="K90" i="7"/>
  <c r="N89" i="7"/>
  <c r="M89" i="7"/>
  <c r="L89" i="7"/>
  <c r="K89" i="7"/>
  <c r="N88" i="7"/>
  <c r="M88" i="7"/>
  <c r="L88" i="7"/>
  <c r="K88" i="7"/>
  <c r="N87" i="7"/>
  <c r="M87" i="7"/>
  <c r="L87" i="7"/>
  <c r="K87" i="7"/>
  <c r="N86" i="7"/>
  <c r="M86" i="7"/>
  <c r="L86" i="7"/>
  <c r="K86" i="7"/>
  <c r="N85" i="7"/>
  <c r="M85" i="7"/>
  <c r="L85" i="7"/>
  <c r="K85" i="7"/>
  <c r="N84" i="7"/>
  <c r="M84" i="7"/>
  <c r="L84" i="7"/>
  <c r="K84" i="7"/>
  <c r="N83" i="7"/>
  <c r="M83" i="7"/>
  <c r="L83" i="7"/>
  <c r="K83" i="7"/>
  <c r="N82" i="7"/>
  <c r="M82" i="7"/>
  <c r="L82" i="7"/>
  <c r="K82" i="7"/>
  <c r="N81" i="7"/>
  <c r="M81" i="7"/>
  <c r="L81" i="7"/>
  <c r="K81" i="7"/>
  <c r="N80" i="7"/>
  <c r="M80" i="7"/>
  <c r="L80" i="7"/>
  <c r="K80" i="7"/>
  <c r="N79" i="7"/>
  <c r="M79" i="7"/>
  <c r="L79" i="7"/>
  <c r="K79" i="7"/>
  <c r="N78" i="7"/>
  <c r="M78" i="7"/>
  <c r="L78" i="7"/>
  <c r="K78" i="7"/>
  <c r="N77" i="7"/>
  <c r="M77" i="7"/>
  <c r="L77" i="7"/>
  <c r="K77" i="7"/>
  <c r="N76" i="7"/>
  <c r="M76" i="7"/>
  <c r="L76" i="7"/>
  <c r="K76" i="7"/>
  <c r="N75" i="7"/>
  <c r="M75" i="7"/>
  <c r="L75" i="7"/>
  <c r="K75" i="7"/>
  <c r="N74" i="7"/>
  <c r="M74" i="7"/>
  <c r="L74" i="7"/>
  <c r="K74" i="7"/>
  <c r="N73" i="7"/>
  <c r="M73" i="7"/>
  <c r="L73" i="7"/>
  <c r="K73" i="7"/>
  <c r="N72" i="7"/>
  <c r="M72" i="7"/>
  <c r="L72" i="7"/>
  <c r="K72" i="7"/>
  <c r="N71" i="7"/>
  <c r="M71" i="7"/>
  <c r="L71" i="7"/>
  <c r="K71" i="7"/>
  <c r="N70" i="7"/>
  <c r="M70" i="7"/>
  <c r="L70" i="7"/>
  <c r="K70" i="7"/>
  <c r="N69" i="7"/>
  <c r="M69" i="7"/>
  <c r="L69" i="7"/>
  <c r="K69" i="7"/>
  <c r="N68" i="7"/>
  <c r="M68" i="7"/>
  <c r="L68" i="7"/>
  <c r="K68" i="7"/>
  <c r="N67" i="7"/>
  <c r="M67" i="7"/>
  <c r="L67" i="7"/>
  <c r="K67" i="7"/>
  <c r="N66" i="7"/>
  <c r="M66" i="7"/>
  <c r="L66" i="7"/>
  <c r="K66" i="7"/>
  <c r="N65" i="7"/>
  <c r="M65" i="7"/>
  <c r="L65" i="7"/>
  <c r="K65" i="7"/>
  <c r="N64" i="7"/>
  <c r="M64" i="7"/>
  <c r="L64" i="7"/>
  <c r="K64" i="7"/>
  <c r="N63" i="7"/>
  <c r="M63" i="7"/>
  <c r="L63" i="7"/>
  <c r="K63" i="7"/>
  <c r="N62" i="7"/>
  <c r="M62" i="7"/>
  <c r="L62" i="7"/>
  <c r="K62" i="7"/>
  <c r="N61" i="7"/>
  <c r="M61" i="7"/>
  <c r="L61" i="7"/>
  <c r="K61" i="7"/>
  <c r="N60" i="7"/>
  <c r="M60" i="7"/>
  <c r="L60" i="7"/>
  <c r="K60" i="7"/>
  <c r="N59" i="7"/>
  <c r="M59" i="7"/>
  <c r="L59" i="7"/>
  <c r="K59" i="7"/>
  <c r="N58" i="7"/>
  <c r="M58" i="7"/>
  <c r="L58" i="7"/>
  <c r="K58" i="7"/>
  <c r="N57" i="7"/>
  <c r="M57" i="7"/>
  <c r="L57" i="7"/>
  <c r="K57" i="7"/>
  <c r="N56" i="7"/>
  <c r="M56" i="7"/>
  <c r="L56" i="7"/>
  <c r="K56" i="7"/>
  <c r="N55" i="7"/>
  <c r="M55" i="7"/>
  <c r="L55" i="7"/>
  <c r="K55" i="7"/>
  <c r="N54" i="7"/>
  <c r="M54" i="7"/>
  <c r="L54" i="7"/>
  <c r="K54" i="7"/>
  <c r="N53" i="7"/>
  <c r="M53" i="7"/>
  <c r="L53" i="7"/>
  <c r="K53" i="7"/>
  <c r="N52" i="7"/>
  <c r="M52" i="7"/>
  <c r="L52" i="7"/>
  <c r="K52" i="7"/>
  <c r="N51" i="7"/>
  <c r="M51" i="7"/>
  <c r="L51" i="7"/>
  <c r="K51" i="7"/>
  <c r="N50" i="7"/>
  <c r="M50" i="7"/>
  <c r="L50" i="7"/>
  <c r="K50" i="7"/>
  <c r="N49" i="7"/>
  <c r="M49" i="7"/>
  <c r="L49" i="7"/>
  <c r="K49" i="7"/>
  <c r="N48" i="7"/>
  <c r="M48" i="7"/>
  <c r="L48" i="7"/>
  <c r="K48" i="7"/>
  <c r="N47" i="7"/>
  <c r="M47" i="7"/>
  <c r="L47" i="7"/>
  <c r="K47" i="7"/>
  <c r="N46" i="7"/>
  <c r="M46" i="7"/>
  <c r="L46" i="7"/>
  <c r="K46" i="7"/>
  <c r="N45" i="7"/>
  <c r="M45" i="7"/>
  <c r="L45" i="7"/>
  <c r="K45" i="7"/>
  <c r="N44" i="7"/>
  <c r="M44" i="7"/>
  <c r="L44" i="7"/>
  <c r="K44" i="7"/>
  <c r="N43" i="7"/>
  <c r="M43" i="7"/>
  <c r="L43" i="7"/>
  <c r="K43" i="7"/>
  <c r="N42" i="7"/>
  <c r="M42" i="7"/>
  <c r="L42" i="7"/>
  <c r="K42" i="7"/>
  <c r="N41" i="7"/>
  <c r="M41" i="7"/>
  <c r="L41" i="7"/>
  <c r="K41" i="7"/>
  <c r="N40" i="7"/>
  <c r="M40" i="7"/>
  <c r="L40" i="7"/>
  <c r="K40" i="7"/>
  <c r="N39" i="7"/>
  <c r="M39" i="7"/>
  <c r="L39" i="7"/>
  <c r="K39" i="7"/>
  <c r="N38" i="7"/>
  <c r="M38" i="7"/>
  <c r="L38" i="7"/>
  <c r="K38" i="7"/>
  <c r="N37" i="7"/>
  <c r="M37" i="7"/>
  <c r="L37" i="7"/>
  <c r="K37" i="7"/>
  <c r="N36" i="7"/>
  <c r="M36" i="7"/>
  <c r="L36" i="7"/>
  <c r="K36" i="7"/>
  <c r="N35" i="7"/>
  <c r="M35" i="7"/>
  <c r="L35" i="7"/>
  <c r="K35" i="7"/>
  <c r="N34" i="7"/>
  <c r="M34" i="7"/>
  <c r="L34" i="7"/>
  <c r="K34" i="7"/>
  <c r="N33" i="7"/>
  <c r="M33" i="7"/>
  <c r="L33" i="7"/>
  <c r="K33" i="7"/>
  <c r="N32" i="7"/>
  <c r="M32" i="7"/>
  <c r="L32" i="7"/>
  <c r="K32" i="7"/>
  <c r="N31" i="7"/>
  <c r="M31" i="7"/>
  <c r="L31" i="7"/>
  <c r="K31" i="7"/>
  <c r="N30" i="7"/>
  <c r="M30" i="7"/>
  <c r="L30" i="7"/>
  <c r="K30" i="7"/>
  <c r="N29" i="7"/>
  <c r="M29" i="7"/>
  <c r="L29" i="7"/>
  <c r="K29" i="7"/>
  <c r="N28" i="7"/>
  <c r="M28" i="7"/>
  <c r="L28" i="7"/>
  <c r="K28" i="7"/>
  <c r="N27" i="7"/>
  <c r="M27" i="7"/>
  <c r="L27" i="7"/>
  <c r="K27" i="7"/>
  <c r="N26" i="7"/>
  <c r="M26" i="7"/>
  <c r="L26" i="7"/>
  <c r="K26" i="7"/>
  <c r="N25" i="7"/>
  <c r="M25" i="7"/>
  <c r="L25" i="7"/>
  <c r="K25" i="7"/>
  <c r="N24" i="7"/>
  <c r="M24" i="7"/>
  <c r="L24" i="7"/>
  <c r="K24" i="7"/>
  <c r="N23" i="7"/>
  <c r="M23" i="7"/>
  <c r="L23" i="7"/>
  <c r="K23" i="7"/>
  <c r="N22" i="7"/>
  <c r="M22" i="7"/>
  <c r="L22" i="7"/>
  <c r="K22" i="7"/>
  <c r="N21" i="7"/>
  <c r="M21" i="7"/>
  <c r="L21" i="7"/>
  <c r="K21" i="7"/>
  <c r="N20" i="7"/>
  <c r="M20" i="7"/>
  <c r="L20" i="7"/>
  <c r="K20" i="7"/>
  <c r="N19" i="7"/>
  <c r="M19" i="7"/>
  <c r="L19" i="7"/>
  <c r="K19" i="7"/>
  <c r="N18" i="7"/>
  <c r="M18" i="7"/>
  <c r="L18" i="7"/>
  <c r="K18" i="7"/>
  <c r="N17" i="7"/>
  <c r="M17" i="7"/>
  <c r="L17" i="7"/>
  <c r="K17" i="7"/>
  <c r="N16" i="7"/>
  <c r="M16" i="7"/>
  <c r="L16" i="7"/>
  <c r="K16" i="7"/>
  <c r="N15" i="7"/>
  <c r="M15" i="7"/>
  <c r="L15" i="7"/>
  <c r="K15" i="7"/>
  <c r="N14" i="7"/>
  <c r="M14" i="7"/>
  <c r="L14" i="7"/>
  <c r="K14" i="7"/>
  <c r="N13" i="7"/>
  <c r="M13" i="7"/>
  <c r="L13" i="7"/>
  <c r="K13" i="7"/>
  <c r="N12" i="7"/>
  <c r="M12" i="7"/>
  <c r="L12" i="7"/>
  <c r="K12" i="7"/>
  <c r="N11" i="7"/>
  <c r="M11" i="7"/>
  <c r="L11" i="7"/>
  <c r="K11" i="7"/>
  <c r="N10" i="7"/>
  <c r="M10" i="7"/>
  <c r="L10" i="7"/>
  <c r="K10" i="7"/>
  <c r="N9" i="7"/>
  <c r="M9" i="7"/>
  <c r="L9" i="7"/>
  <c r="K9" i="7"/>
  <c r="N8" i="7"/>
  <c r="M8" i="7"/>
  <c r="L8" i="7"/>
  <c r="K8" i="7"/>
  <c r="N7" i="7"/>
  <c r="M7" i="7"/>
  <c r="L7" i="7"/>
  <c r="K7" i="7"/>
  <c r="N6" i="7"/>
  <c r="M6" i="7"/>
  <c r="L6"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K6" i="7"/>
  <c r="S122" i="7"/>
  <c r="R122" i="7"/>
  <c r="EG122" i="7"/>
  <c r="EF122" i="7"/>
  <c r="DF122" i="7"/>
  <c r="CF121" i="7"/>
  <c r="CE121" i="7"/>
  <c r="CD121" i="7"/>
  <c r="CC121" i="7"/>
  <c r="CB121" i="7"/>
  <c r="CA121" i="7"/>
  <c r="BW121" i="7"/>
  <c r="BV121" i="7"/>
  <c r="BU121" i="7"/>
  <c r="BT121" i="7"/>
  <c r="BS121" i="7"/>
  <c r="BP121" i="7"/>
  <c r="BN121" i="7"/>
  <c r="BL121" i="7"/>
  <c r="BJ121" i="7"/>
  <c r="BI121" i="7"/>
  <c r="BH121" i="7"/>
  <c r="BE121" i="7"/>
  <c r="BD121" i="7"/>
  <c r="BC121" i="7"/>
  <c r="BB121" i="7"/>
  <c r="BA121" i="7"/>
  <c r="AZ121" i="7"/>
  <c r="AY121" i="7"/>
  <c r="AX121" i="7"/>
  <c r="AW121" i="7"/>
  <c r="AV121" i="7"/>
  <c r="AU121" i="7"/>
  <c r="AQ121" i="7"/>
  <c r="AP121" i="7"/>
  <c r="AG121" i="7"/>
  <c r="AF121" i="7"/>
  <c r="AA121" i="7"/>
  <c r="Z121" i="7"/>
  <c r="Y121" i="7"/>
  <c r="X121" i="7"/>
  <c r="J121" i="7"/>
  <c r="I121" i="7"/>
  <c r="G121" i="7"/>
  <c r="F121" i="7"/>
  <c r="E121" i="7"/>
  <c r="CF120" i="7"/>
  <c r="CE120" i="7"/>
  <c r="CD120" i="7"/>
  <c r="CC120" i="7"/>
  <c r="CB120" i="7"/>
  <c r="CA120" i="7"/>
  <c r="BW120" i="7"/>
  <c r="BV120" i="7"/>
  <c r="BU120" i="7"/>
  <c r="BT120" i="7"/>
  <c r="BS120" i="7"/>
  <c r="BP120" i="7"/>
  <c r="BN120" i="7"/>
  <c r="BL120" i="7"/>
  <c r="BJ120" i="7"/>
  <c r="BI120" i="7"/>
  <c r="BH120" i="7"/>
  <c r="BE120" i="7"/>
  <c r="BD120" i="7"/>
  <c r="BC120" i="7"/>
  <c r="BB120" i="7"/>
  <c r="BA120" i="7"/>
  <c r="AZ120" i="7"/>
  <c r="AY120" i="7"/>
  <c r="AX120" i="7"/>
  <c r="AW120" i="7"/>
  <c r="AV120" i="7"/>
  <c r="AU120" i="7"/>
  <c r="AQ120" i="7"/>
  <c r="AP120" i="7"/>
  <c r="AG120" i="7"/>
  <c r="AF120" i="7"/>
  <c r="AA120" i="7"/>
  <c r="Z120" i="7"/>
  <c r="Y120" i="7"/>
  <c r="X120" i="7"/>
  <c r="J120" i="7"/>
  <c r="I120" i="7"/>
  <c r="G120" i="7"/>
  <c r="F120" i="7"/>
  <c r="E120" i="7"/>
  <c r="CF119" i="7"/>
  <c r="CE119" i="7"/>
  <c r="CD119" i="7"/>
  <c r="CC119" i="7"/>
  <c r="CB119" i="7"/>
  <c r="CA119" i="7"/>
  <c r="BW119" i="7"/>
  <c r="BV119" i="7"/>
  <c r="BU119" i="7"/>
  <c r="BT119" i="7"/>
  <c r="BS119" i="7"/>
  <c r="BP119" i="7"/>
  <c r="BN119" i="7"/>
  <c r="BL119" i="7"/>
  <c r="BJ119" i="7"/>
  <c r="BI119" i="7"/>
  <c r="BH119" i="7"/>
  <c r="BE119" i="7"/>
  <c r="BD119" i="7"/>
  <c r="BC119" i="7"/>
  <c r="BB119" i="7"/>
  <c r="BA119" i="7"/>
  <c r="AZ119" i="7"/>
  <c r="AY119" i="7"/>
  <c r="AX119" i="7"/>
  <c r="AW119" i="7"/>
  <c r="AV119" i="7"/>
  <c r="AU119" i="7"/>
  <c r="AQ119" i="7"/>
  <c r="AP119" i="7"/>
  <c r="AG119" i="7"/>
  <c r="AF119" i="7"/>
  <c r="AA119" i="7"/>
  <c r="Z119" i="7"/>
  <c r="Y119" i="7"/>
  <c r="X119" i="7"/>
  <c r="J119" i="7"/>
  <c r="I119" i="7"/>
  <c r="G119" i="7"/>
  <c r="F119" i="7"/>
  <c r="E119" i="7"/>
  <c r="CF118" i="7"/>
  <c r="CE118" i="7"/>
  <c r="CD118" i="7"/>
  <c r="CC118" i="7"/>
  <c r="CB118" i="7"/>
  <c r="CA118" i="7"/>
  <c r="BW118" i="7"/>
  <c r="BV118" i="7"/>
  <c r="BU118" i="7"/>
  <c r="BT118" i="7"/>
  <c r="BS118" i="7"/>
  <c r="BP118" i="7"/>
  <c r="BN118" i="7"/>
  <c r="BL118" i="7"/>
  <c r="BJ118" i="7"/>
  <c r="BI118" i="7"/>
  <c r="BH118" i="7"/>
  <c r="BE118" i="7"/>
  <c r="BD118" i="7"/>
  <c r="BC118" i="7"/>
  <c r="BB118" i="7"/>
  <c r="BA118" i="7"/>
  <c r="AZ118" i="7"/>
  <c r="AY118" i="7"/>
  <c r="AX118" i="7"/>
  <c r="AW118" i="7"/>
  <c r="AV118" i="7"/>
  <c r="AU118" i="7"/>
  <c r="AQ118" i="7"/>
  <c r="AP118" i="7"/>
  <c r="AG118" i="7"/>
  <c r="AF118" i="7"/>
  <c r="AA118" i="7"/>
  <c r="Z118" i="7"/>
  <c r="Y118" i="7"/>
  <c r="X118" i="7"/>
  <c r="J118" i="7"/>
  <c r="I118" i="7"/>
  <c r="G118" i="7"/>
  <c r="F118" i="7"/>
  <c r="E118" i="7"/>
  <c r="CF117" i="7"/>
  <c r="DC117" i="7" s="1"/>
  <c r="CE117" i="7"/>
  <c r="CD117" i="7"/>
  <c r="CC117" i="7"/>
  <c r="CB117" i="7"/>
  <c r="CA117" i="7"/>
  <c r="BW117" i="7"/>
  <c r="BV117" i="7"/>
  <c r="BU117" i="7"/>
  <c r="BT117" i="7"/>
  <c r="BS117" i="7"/>
  <c r="BP117" i="7"/>
  <c r="BN117" i="7"/>
  <c r="BL117" i="7"/>
  <c r="BJ117" i="7"/>
  <c r="BI117" i="7"/>
  <c r="BH117" i="7"/>
  <c r="BE117" i="7"/>
  <c r="BD117" i="7"/>
  <c r="BC117" i="7"/>
  <c r="BB117" i="7"/>
  <c r="BA117" i="7"/>
  <c r="AZ117" i="7"/>
  <c r="AY117" i="7"/>
  <c r="AX117" i="7"/>
  <c r="AW117" i="7"/>
  <c r="AV117" i="7"/>
  <c r="AU117" i="7"/>
  <c r="AQ117" i="7"/>
  <c r="AP117" i="7"/>
  <c r="AG117" i="7"/>
  <c r="AF117" i="7"/>
  <c r="AA117" i="7"/>
  <c r="DB117" i="7" s="1"/>
  <c r="Z117" i="7"/>
  <c r="Y117" i="7"/>
  <c r="X117" i="7"/>
  <c r="J117" i="7"/>
  <c r="I117" i="7"/>
  <c r="G117" i="7"/>
  <c r="F117" i="7"/>
  <c r="E117" i="7"/>
  <c r="CF116" i="7"/>
  <c r="CE116" i="7"/>
  <c r="CD116" i="7"/>
  <c r="CC116" i="7"/>
  <c r="DC116" i="7" s="1"/>
  <c r="CB116" i="7"/>
  <c r="CA116" i="7"/>
  <c r="BW116" i="7"/>
  <c r="BV116" i="7"/>
  <c r="BU116" i="7"/>
  <c r="BT116" i="7"/>
  <c r="BS116" i="7"/>
  <c r="BP116" i="7"/>
  <c r="BN116" i="7"/>
  <c r="BL116" i="7"/>
  <c r="BJ116" i="7"/>
  <c r="BI116" i="7"/>
  <c r="BH116" i="7"/>
  <c r="BE116" i="7"/>
  <c r="BD116" i="7"/>
  <c r="BC116" i="7"/>
  <c r="BB116" i="7"/>
  <c r="BA116" i="7"/>
  <c r="AZ116" i="7"/>
  <c r="AY116" i="7"/>
  <c r="AX116" i="7"/>
  <c r="AW116" i="7"/>
  <c r="AV116" i="7"/>
  <c r="AU116" i="7"/>
  <c r="AQ116" i="7"/>
  <c r="AP116" i="7"/>
  <c r="AG116" i="7"/>
  <c r="AF116" i="7"/>
  <c r="AA116" i="7"/>
  <c r="Z116" i="7"/>
  <c r="Y116" i="7"/>
  <c r="X116" i="7"/>
  <c r="J116" i="7"/>
  <c r="I116" i="7"/>
  <c r="G116" i="7"/>
  <c r="H116" i="7" s="1"/>
  <c r="F116" i="7"/>
  <c r="E116" i="7"/>
  <c r="CF115" i="7"/>
  <c r="CE115" i="7"/>
  <c r="CD115" i="7"/>
  <c r="CC115" i="7"/>
  <c r="DC115" i="7" s="1"/>
  <c r="CB115" i="7"/>
  <c r="CA115" i="7"/>
  <c r="BW115" i="7"/>
  <c r="BV115" i="7"/>
  <c r="BU115" i="7"/>
  <c r="BT115" i="7"/>
  <c r="BS115" i="7"/>
  <c r="BP115" i="7"/>
  <c r="BN115" i="7"/>
  <c r="BL115" i="7"/>
  <c r="BJ115" i="7"/>
  <c r="BI115" i="7"/>
  <c r="BH115" i="7"/>
  <c r="BE115" i="7"/>
  <c r="BD115" i="7"/>
  <c r="BC115" i="7"/>
  <c r="BB115" i="7"/>
  <c r="BA115" i="7"/>
  <c r="AZ115" i="7"/>
  <c r="AY115" i="7"/>
  <c r="AX115" i="7"/>
  <c r="AW115" i="7"/>
  <c r="AV115" i="7"/>
  <c r="AU115" i="7"/>
  <c r="AQ115" i="7"/>
  <c r="AP115" i="7"/>
  <c r="AG115" i="7"/>
  <c r="AF115" i="7"/>
  <c r="AA115" i="7"/>
  <c r="DB115" i="7" s="1"/>
  <c r="Z115" i="7"/>
  <c r="Y115" i="7"/>
  <c r="X115" i="7"/>
  <c r="J115" i="7"/>
  <c r="I115" i="7"/>
  <c r="G115" i="7"/>
  <c r="F115" i="7"/>
  <c r="E115" i="7"/>
  <c r="CF114" i="7"/>
  <c r="CE114" i="7"/>
  <c r="CD114" i="7"/>
  <c r="CC114" i="7"/>
  <c r="CB114" i="7"/>
  <c r="CA114" i="7"/>
  <c r="BW114" i="7"/>
  <c r="BV114" i="7"/>
  <c r="BU114" i="7"/>
  <c r="BT114" i="7"/>
  <c r="BS114" i="7"/>
  <c r="BP114" i="7"/>
  <c r="BN114" i="7"/>
  <c r="BL114" i="7"/>
  <c r="BJ114" i="7"/>
  <c r="BI114" i="7"/>
  <c r="BH114" i="7"/>
  <c r="BE114" i="7"/>
  <c r="BD114" i="7"/>
  <c r="BC114" i="7"/>
  <c r="BB114" i="7"/>
  <c r="BA114" i="7"/>
  <c r="AZ114" i="7"/>
  <c r="AY114" i="7"/>
  <c r="AX114" i="7"/>
  <c r="AW114" i="7"/>
  <c r="AV114" i="7"/>
  <c r="AU114" i="7"/>
  <c r="AQ114" i="7"/>
  <c r="AP114" i="7"/>
  <c r="AG114" i="7"/>
  <c r="AF114" i="7"/>
  <c r="AA114" i="7"/>
  <c r="Z114" i="7"/>
  <c r="Y114" i="7"/>
  <c r="X114" i="7"/>
  <c r="J114" i="7"/>
  <c r="I114" i="7"/>
  <c r="G114" i="7"/>
  <c r="F114" i="7"/>
  <c r="E114" i="7"/>
  <c r="CF113" i="7"/>
  <c r="CE113" i="7"/>
  <c r="CD113" i="7"/>
  <c r="CC113" i="7"/>
  <c r="CB113" i="7"/>
  <c r="CA113" i="7"/>
  <c r="BW113" i="7"/>
  <c r="BV113" i="7"/>
  <c r="BU113" i="7"/>
  <c r="BT113" i="7"/>
  <c r="BS113" i="7"/>
  <c r="BP113" i="7"/>
  <c r="BN113" i="7"/>
  <c r="BL113" i="7"/>
  <c r="BJ113" i="7"/>
  <c r="BI113" i="7"/>
  <c r="BH113" i="7"/>
  <c r="BE113" i="7"/>
  <c r="BD113" i="7"/>
  <c r="BC113" i="7"/>
  <c r="BB113" i="7"/>
  <c r="BA113" i="7"/>
  <c r="AZ113" i="7"/>
  <c r="AY113" i="7"/>
  <c r="AX113" i="7"/>
  <c r="AW113" i="7"/>
  <c r="AV113" i="7"/>
  <c r="AU113" i="7"/>
  <c r="AQ113" i="7"/>
  <c r="AP113" i="7"/>
  <c r="AG113" i="7"/>
  <c r="AF113" i="7"/>
  <c r="AA113" i="7"/>
  <c r="Z113" i="7"/>
  <c r="Y113" i="7"/>
  <c r="X113" i="7"/>
  <c r="J113" i="7"/>
  <c r="I113" i="7"/>
  <c r="G113" i="7"/>
  <c r="H113" i="7" s="1"/>
  <c r="F113" i="7"/>
  <c r="E113" i="7"/>
  <c r="CF112" i="7"/>
  <c r="CE112" i="7"/>
  <c r="CD112" i="7"/>
  <c r="CC112" i="7"/>
  <c r="CB112" i="7"/>
  <c r="CA112" i="7"/>
  <c r="BW112" i="7"/>
  <c r="BV112" i="7"/>
  <c r="BU112" i="7"/>
  <c r="BT112" i="7"/>
  <c r="BS112" i="7"/>
  <c r="BP112" i="7"/>
  <c r="BN112" i="7"/>
  <c r="BL112" i="7"/>
  <c r="BJ112" i="7"/>
  <c r="BI112" i="7"/>
  <c r="BH112" i="7"/>
  <c r="BE112" i="7"/>
  <c r="BD112" i="7"/>
  <c r="BC112" i="7"/>
  <c r="BB112" i="7"/>
  <c r="BA112" i="7"/>
  <c r="AZ112" i="7"/>
  <c r="AY112" i="7"/>
  <c r="AX112" i="7"/>
  <c r="AW112" i="7"/>
  <c r="AV112" i="7"/>
  <c r="AU112" i="7"/>
  <c r="AQ112" i="7"/>
  <c r="AP112" i="7"/>
  <c r="AG112" i="7"/>
  <c r="AF112" i="7"/>
  <c r="AA112" i="7"/>
  <c r="Z112" i="7"/>
  <c r="Y112" i="7"/>
  <c r="X112" i="7"/>
  <c r="J112" i="7"/>
  <c r="I112" i="7"/>
  <c r="G112" i="7"/>
  <c r="H112" i="7" s="1"/>
  <c r="F112" i="7"/>
  <c r="E112" i="7"/>
  <c r="CF111" i="7"/>
  <c r="CE111" i="7"/>
  <c r="DC111" i="7" s="1"/>
  <c r="CD111" i="7"/>
  <c r="CC111" i="7"/>
  <c r="CB111" i="7"/>
  <c r="CA111" i="7"/>
  <c r="BW111" i="7"/>
  <c r="BV111" i="7"/>
  <c r="BU111" i="7"/>
  <c r="BT111" i="7"/>
  <c r="BS111" i="7"/>
  <c r="BP111" i="7"/>
  <c r="BN111" i="7"/>
  <c r="BL111" i="7"/>
  <c r="BJ111" i="7"/>
  <c r="BI111" i="7"/>
  <c r="BH111" i="7"/>
  <c r="BE111" i="7"/>
  <c r="BD111" i="7"/>
  <c r="BC111" i="7"/>
  <c r="BB111" i="7"/>
  <c r="BA111" i="7"/>
  <c r="AZ111" i="7"/>
  <c r="AY111" i="7"/>
  <c r="AX111" i="7"/>
  <c r="AW111" i="7"/>
  <c r="AV111" i="7"/>
  <c r="AU111" i="7"/>
  <c r="AQ111" i="7"/>
  <c r="AP111" i="7"/>
  <c r="AG111" i="7"/>
  <c r="AF111" i="7"/>
  <c r="AA111" i="7"/>
  <c r="Z111" i="7"/>
  <c r="Y111" i="7"/>
  <c r="X111" i="7"/>
  <c r="J111" i="7"/>
  <c r="I111" i="7"/>
  <c r="G111" i="7"/>
  <c r="F111" i="7"/>
  <c r="E111" i="7"/>
  <c r="CF110" i="7"/>
  <c r="CE110" i="7"/>
  <c r="CD110" i="7"/>
  <c r="CC110" i="7"/>
  <c r="CB110" i="7"/>
  <c r="CA110" i="7"/>
  <c r="BW110" i="7"/>
  <c r="BV110" i="7"/>
  <c r="BU110" i="7"/>
  <c r="BT110" i="7"/>
  <c r="BS110" i="7"/>
  <c r="BP110" i="7"/>
  <c r="BN110" i="7"/>
  <c r="BL110" i="7"/>
  <c r="BJ110" i="7"/>
  <c r="BI110" i="7"/>
  <c r="BH110" i="7"/>
  <c r="BE110" i="7"/>
  <c r="BD110" i="7"/>
  <c r="BC110" i="7"/>
  <c r="BB110" i="7"/>
  <c r="BA110" i="7"/>
  <c r="AZ110" i="7"/>
  <c r="AY110" i="7"/>
  <c r="AX110" i="7"/>
  <c r="AW110" i="7"/>
  <c r="AV110" i="7"/>
  <c r="AU110" i="7"/>
  <c r="AQ110" i="7"/>
  <c r="AP110" i="7"/>
  <c r="AG110" i="7"/>
  <c r="AF110" i="7"/>
  <c r="AA110" i="7"/>
  <c r="Z110" i="7"/>
  <c r="Y110" i="7"/>
  <c r="X110" i="7"/>
  <c r="J110" i="7"/>
  <c r="I110" i="7"/>
  <c r="G110" i="7"/>
  <c r="F110" i="7"/>
  <c r="E110" i="7"/>
  <c r="CF109" i="7"/>
  <c r="CE109" i="7"/>
  <c r="CD109" i="7"/>
  <c r="CC109" i="7"/>
  <c r="CB109" i="7"/>
  <c r="CA109" i="7"/>
  <c r="BW109" i="7"/>
  <c r="BV109" i="7"/>
  <c r="BU109" i="7"/>
  <c r="BT109" i="7"/>
  <c r="BS109" i="7"/>
  <c r="BP109" i="7"/>
  <c r="BN109" i="7"/>
  <c r="BL109" i="7"/>
  <c r="BJ109" i="7"/>
  <c r="BI109" i="7"/>
  <c r="BH109" i="7"/>
  <c r="BE109" i="7"/>
  <c r="BD109" i="7"/>
  <c r="BC109" i="7"/>
  <c r="BB109" i="7"/>
  <c r="BA109" i="7"/>
  <c r="AZ109" i="7"/>
  <c r="AY109" i="7"/>
  <c r="AX109" i="7"/>
  <c r="AW109" i="7"/>
  <c r="AV109" i="7"/>
  <c r="AU109" i="7"/>
  <c r="AQ109" i="7"/>
  <c r="AP109" i="7"/>
  <c r="AG109" i="7"/>
  <c r="AF109" i="7"/>
  <c r="DB109" i="7" s="1"/>
  <c r="AA109" i="7"/>
  <c r="Z109" i="7"/>
  <c r="Y109" i="7"/>
  <c r="X109" i="7"/>
  <c r="J109" i="7"/>
  <c r="I109" i="7"/>
  <c r="G109" i="7"/>
  <c r="F109" i="7"/>
  <c r="E109" i="7"/>
  <c r="CF108" i="7"/>
  <c r="CE108" i="7"/>
  <c r="CD108" i="7"/>
  <c r="DC108" i="7" s="1"/>
  <c r="CC108" i="7"/>
  <c r="CB108" i="7"/>
  <c r="CA108" i="7"/>
  <c r="BW108" i="7"/>
  <c r="BV108" i="7"/>
  <c r="BU108" i="7"/>
  <c r="BT108" i="7"/>
  <c r="BS108" i="7"/>
  <c r="BP108" i="7"/>
  <c r="BN108" i="7"/>
  <c r="BL108" i="7"/>
  <c r="BJ108" i="7"/>
  <c r="BI108" i="7"/>
  <c r="BH108" i="7"/>
  <c r="BE108" i="7"/>
  <c r="BD108" i="7"/>
  <c r="BC108" i="7"/>
  <c r="BB108" i="7"/>
  <c r="BA108" i="7"/>
  <c r="AZ108" i="7"/>
  <c r="AY108" i="7"/>
  <c r="AX108" i="7"/>
  <c r="AW108" i="7"/>
  <c r="AV108" i="7"/>
  <c r="AU108" i="7"/>
  <c r="AQ108" i="7"/>
  <c r="AP108" i="7"/>
  <c r="AG108" i="7"/>
  <c r="AF108" i="7"/>
  <c r="AA108" i="7"/>
  <c r="Z108" i="7"/>
  <c r="Y108" i="7"/>
  <c r="X108" i="7"/>
  <c r="J108" i="7"/>
  <c r="I108" i="7"/>
  <c r="G108" i="7"/>
  <c r="F108" i="7"/>
  <c r="E108" i="7"/>
  <c r="CF107" i="7"/>
  <c r="CE107" i="7"/>
  <c r="CD107" i="7"/>
  <c r="CC107" i="7"/>
  <c r="DC107" i="7" s="1"/>
  <c r="CB107" i="7"/>
  <c r="CA107" i="7"/>
  <c r="BW107" i="7"/>
  <c r="BV107" i="7"/>
  <c r="BU107" i="7"/>
  <c r="BT107" i="7"/>
  <c r="BS107" i="7"/>
  <c r="BP107" i="7"/>
  <c r="BN107" i="7"/>
  <c r="BL107" i="7"/>
  <c r="BJ107" i="7"/>
  <c r="BI107" i="7"/>
  <c r="BH107" i="7"/>
  <c r="BE107" i="7"/>
  <c r="BD107" i="7"/>
  <c r="BC107" i="7"/>
  <c r="BB107" i="7"/>
  <c r="BA107" i="7"/>
  <c r="AZ107" i="7"/>
  <c r="AY107" i="7"/>
  <c r="AX107" i="7"/>
  <c r="AW107" i="7"/>
  <c r="AV107" i="7"/>
  <c r="AU107" i="7"/>
  <c r="AQ107" i="7"/>
  <c r="AP107" i="7"/>
  <c r="AG107" i="7"/>
  <c r="AF107" i="7"/>
  <c r="AA107" i="7"/>
  <c r="DB107" i="7" s="1"/>
  <c r="Z107" i="7"/>
  <c r="Y107" i="7"/>
  <c r="X107" i="7"/>
  <c r="J107" i="7"/>
  <c r="I107" i="7"/>
  <c r="G107" i="7"/>
  <c r="F107" i="7"/>
  <c r="E107" i="7"/>
  <c r="CF106" i="7"/>
  <c r="CE106" i="7"/>
  <c r="CD106" i="7"/>
  <c r="CC106" i="7"/>
  <c r="DC106" i="7" s="1"/>
  <c r="CB106" i="7"/>
  <c r="CA106" i="7"/>
  <c r="BW106" i="7"/>
  <c r="BV106" i="7"/>
  <c r="BU106" i="7"/>
  <c r="BT106" i="7"/>
  <c r="BS106" i="7"/>
  <c r="BP106" i="7"/>
  <c r="BN106" i="7"/>
  <c r="BL106" i="7"/>
  <c r="BJ106" i="7"/>
  <c r="BI106" i="7"/>
  <c r="BH106" i="7"/>
  <c r="BE106" i="7"/>
  <c r="BD106" i="7"/>
  <c r="BC106" i="7"/>
  <c r="BB106" i="7"/>
  <c r="BA106" i="7"/>
  <c r="AZ106" i="7"/>
  <c r="AY106" i="7"/>
  <c r="AX106" i="7"/>
  <c r="AW106" i="7"/>
  <c r="AV106" i="7"/>
  <c r="AU106" i="7"/>
  <c r="AQ106" i="7"/>
  <c r="AP106" i="7"/>
  <c r="AG106" i="7"/>
  <c r="AF106" i="7"/>
  <c r="AA106" i="7"/>
  <c r="Z106" i="7"/>
  <c r="Y106" i="7"/>
  <c r="X106" i="7"/>
  <c r="J106" i="7"/>
  <c r="I106" i="7"/>
  <c r="G106" i="7"/>
  <c r="F106" i="7"/>
  <c r="E106" i="7"/>
  <c r="CF105" i="7"/>
  <c r="CE105" i="7"/>
  <c r="CD105" i="7"/>
  <c r="CC105" i="7"/>
  <c r="DC105" i="7" s="1"/>
  <c r="CB105" i="7"/>
  <c r="CA105" i="7"/>
  <c r="BW105" i="7"/>
  <c r="BV105" i="7"/>
  <c r="BU105" i="7"/>
  <c r="BT105" i="7"/>
  <c r="BS105" i="7"/>
  <c r="BP105" i="7"/>
  <c r="BN105" i="7"/>
  <c r="BL105" i="7"/>
  <c r="BJ105" i="7"/>
  <c r="BI105" i="7"/>
  <c r="BH105" i="7"/>
  <c r="BE105" i="7"/>
  <c r="BD105" i="7"/>
  <c r="BC105" i="7"/>
  <c r="BB105" i="7"/>
  <c r="BA105" i="7"/>
  <c r="AZ105" i="7"/>
  <c r="AY105" i="7"/>
  <c r="AX105" i="7"/>
  <c r="AW105" i="7"/>
  <c r="AV105" i="7"/>
  <c r="AU105" i="7"/>
  <c r="AQ105" i="7"/>
  <c r="AP105" i="7"/>
  <c r="AG105" i="7"/>
  <c r="AF105" i="7"/>
  <c r="AA105" i="7"/>
  <c r="Z105" i="7"/>
  <c r="Y105" i="7"/>
  <c r="X105" i="7"/>
  <c r="J105" i="7"/>
  <c r="I105" i="7"/>
  <c r="G105" i="7"/>
  <c r="H105" i="7" s="1"/>
  <c r="F105" i="7"/>
  <c r="E105" i="7"/>
  <c r="CF104" i="7"/>
  <c r="CE104" i="7"/>
  <c r="CD104" i="7"/>
  <c r="CC104" i="7"/>
  <c r="CB104" i="7"/>
  <c r="CA104" i="7"/>
  <c r="BW104" i="7"/>
  <c r="BV104" i="7"/>
  <c r="BU104" i="7"/>
  <c r="BT104" i="7"/>
  <c r="BS104" i="7"/>
  <c r="BP104" i="7"/>
  <c r="BN104" i="7"/>
  <c r="BL104" i="7"/>
  <c r="BJ104" i="7"/>
  <c r="BI104" i="7"/>
  <c r="BH104" i="7"/>
  <c r="BE104" i="7"/>
  <c r="BD104" i="7"/>
  <c r="BC104" i="7"/>
  <c r="BB104" i="7"/>
  <c r="BA104" i="7"/>
  <c r="AZ104" i="7"/>
  <c r="AY104" i="7"/>
  <c r="AX104" i="7"/>
  <c r="AW104" i="7"/>
  <c r="AV104" i="7"/>
  <c r="AU104" i="7"/>
  <c r="AQ104" i="7"/>
  <c r="AP104" i="7"/>
  <c r="AG104" i="7"/>
  <c r="AF104" i="7"/>
  <c r="AA104" i="7"/>
  <c r="Z104" i="7"/>
  <c r="Y104" i="7"/>
  <c r="X104" i="7"/>
  <c r="J104" i="7"/>
  <c r="I104" i="7"/>
  <c r="G104" i="7"/>
  <c r="F104" i="7"/>
  <c r="E104" i="7"/>
  <c r="CF103" i="7"/>
  <c r="CE103" i="7"/>
  <c r="CD103" i="7"/>
  <c r="CC103" i="7"/>
  <c r="CB103" i="7"/>
  <c r="CA103" i="7"/>
  <c r="BW103" i="7"/>
  <c r="BV103" i="7"/>
  <c r="BU103" i="7"/>
  <c r="BT103" i="7"/>
  <c r="BS103" i="7"/>
  <c r="BP103" i="7"/>
  <c r="BN103" i="7"/>
  <c r="BL103" i="7"/>
  <c r="BJ103" i="7"/>
  <c r="BI103" i="7"/>
  <c r="BH103" i="7"/>
  <c r="BE103" i="7"/>
  <c r="BD103" i="7"/>
  <c r="BC103" i="7"/>
  <c r="BB103" i="7"/>
  <c r="BA103" i="7"/>
  <c r="AZ103" i="7"/>
  <c r="AY103" i="7"/>
  <c r="AX103" i="7"/>
  <c r="AW103" i="7"/>
  <c r="AV103" i="7"/>
  <c r="AU103" i="7"/>
  <c r="AQ103" i="7"/>
  <c r="AP103" i="7"/>
  <c r="AG103" i="7"/>
  <c r="AF103" i="7"/>
  <c r="AA103" i="7"/>
  <c r="Z103" i="7"/>
  <c r="Y103" i="7"/>
  <c r="X103" i="7"/>
  <c r="J103" i="7"/>
  <c r="I103" i="7"/>
  <c r="G103" i="7"/>
  <c r="F103" i="7"/>
  <c r="E103" i="7"/>
  <c r="CF102" i="7"/>
  <c r="CE102" i="7"/>
  <c r="CD102" i="7"/>
  <c r="CC102" i="7"/>
  <c r="CB102" i="7"/>
  <c r="CA102" i="7"/>
  <c r="BW102" i="7"/>
  <c r="BV102" i="7"/>
  <c r="BU102" i="7"/>
  <c r="BT102" i="7"/>
  <c r="BS102" i="7"/>
  <c r="BP102" i="7"/>
  <c r="BN102" i="7"/>
  <c r="BL102" i="7"/>
  <c r="BJ102" i="7"/>
  <c r="BI102" i="7"/>
  <c r="BH102" i="7"/>
  <c r="BE102" i="7"/>
  <c r="BD102" i="7"/>
  <c r="BC102" i="7"/>
  <c r="BB102" i="7"/>
  <c r="BA102" i="7"/>
  <c r="AZ102" i="7"/>
  <c r="AY102" i="7"/>
  <c r="AX102" i="7"/>
  <c r="AW102" i="7"/>
  <c r="AV102" i="7"/>
  <c r="AU102" i="7"/>
  <c r="AQ102" i="7"/>
  <c r="AP102" i="7"/>
  <c r="AG102" i="7"/>
  <c r="AF102" i="7"/>
  <c r="DB102" i="7" s="1"/>
  <c r="AA102" i="7"/>
  <c r="Z102" i="7"/>
  <c r="Y102" i="7"/>
  <c r="X102" i="7"/>
  <c r="J102" i="7"/>
  <c r="I102" i="7"/>
  <c r="G102" i="7"/>
  <c r="F102" i="7"/>
  <c r="E102" i="7"/>
  <c r="CF101" i="7"/>
  <c r="CE101" i="7"/>
  <c r="CD101" i="7"/>
  <c r="CC101" i="7"/>
  <c r="CB101" i="7"/>
  <c r="CA101" i="7"/>
  <c r="BW101" i="7"/>
  <c r="BV101" i="7"/>
  <c r="BU101" i="7"/>
  <c r="BT101" i="7"/>
  <c r="BS101" i="7"/>
  <c r="BP101" i="7"/>
  <c r="BN101" i="7"/>
  <c r="BL101" i="7"/>
  <c r="BJ101" i="7"/>
  <c r="BI101" i="7"/>
  <c r="BH101" i="7"/>
  <c r="BE101" i="7"/>
  <c r="BD101" i="7"/>
  <c r="BC101" i="7"/>
  <c r="BB101" i="7"/>
  <c r="BA101" i="7"/>
  <c r="AZ101" i="7"/>
  <c r="AY101" i="7"/>
  <c r="AX101" i="7"/>
  <c r="AW101" i="7"/>
  <c r="AV101" i="7"/>
  <c r="AU101" i="7"/>
  <c r="AQ101" i="7"/>
  <c r="AP101" i="7"/>
  <c r="AG101" i="7"/>
  <c r="AF101" i="7"/>
  <c r="DB101" i="7" s="1"/>
  <c r="AA101" i="7"/>
  <c r="Z101" i="7"/>
  <c r="Y101" i="7"/>
  <c r="X101" i="7"/>
  <c r="J101" i="7"/>
  <c r="I101" i="7"/>
  <c r="G101" i="7"/>
  <c r="H101" i="7" s="1"/>
  <c r="F101" i="7"/>
  <c r="E101" i="7"/>
  <c r="CF100" i="7"/>
  <c r="CE100" i="7"/>
  <c r="CD100" i="7"/>
  <c r="CC100" i="7"/>
  <c r="DC100" i="7" s="1"/>
  <c r="CB100" i="7"/>
  <c r="CA100" i="7"/>
  <c r="BW100" i="7"/>
  <c r="BV100" i="7"/>
  <c r="BU100" i="7"/>
  <c r="BT100" i="7"/>
  <c r="BS100" i="7"/>
  <c r="BP100" i="7"/>
  <c r="BN100" i="7"/>
  <c r="BL100" i="7"/>
  <c r="BJ100" i="7"/>
  <c r="BI100" i="7"/>
  <c r="BH100" i="7"/>
  <c r="BE100" i="7"/>
  <c r="BD100" i="7"/>
  <c r="BC100" i="7"/>
  <c r="BB100" i="7"/>
  <c r="BA100" i="7"/>
  <c r="AZ100" i="7"/>
  <c r="AY100" i="7"/>
  <c r="AX100" i="7"/>
  <c r="AW100" i="7"/>
  <c r="AV100" i="7"/>
  <c r="AU100" i="7"/>
  <c r="AQ100" i="7"/>
  <c r="AP100" i="7"/>
  <c r="AG100" i="7"/>
  <c r="AF100" i="7"/>
  <c r="AA100" i="7"/>
  <c r="Z100" i="7"/>
  <c r="Y100" i="7"/>
  <c r="X100" i="7"/>
  <c r="J100" i="7"/>
  <c r="I100" i="7"/>
  <c r="G100" i="7"/>
  <c r="F100" i="7"/>
  <c r="E100" i="7"/>
  <c r="CF99" i="7"/>
  <c r="CE99" i="7"/>
  <c r="CD99" i="7"/>
  <c r="CC99" i="7"/>
  <c r="DC99" i="7" s="1"/>
  <c r="CB99" i="7"/>
  <c r="CA99" i="7"/>
  <c r="BW99" i="7"/>
  <c r="BV99" i="7"/>
  <c r="BU99" i="7"/>
  <c r="BT99" i="7"/>
  <c r="BS99" i="7"/>
  <c r="BP99" i="7"/>
  <c r="BN99" i="7"/>
  <c r="BL99" i="7"/>
  <c r="BJ99" i="7"/>
  <c r="BI99" i="7"/>
  <c r="BH99" i="7"/>
  <c r="BE99" i="7"/>
  <c r="BD99" i="7"/>
  <c r="BC99" i="7"/>
  <c r="BB99" i="7"/>
  <c r="BA99" i="7"/>
  <c r="AZ99" i="7"/>
  <c r="AY99" i="7"/>
  <c r="AX99" i="7"/>
  <c r="AW99" i="7"/>
  <c r="AV99" i="7"/>
  <c r="AU99" i="7"/>
  <c r="AQ99" i="7"/>
  <c r="AP99" i="7"/>
  <c r="AG99" i="7"/>
  <c r="AF99" i="7"/>
  <c r="AA99" i="7"/>
  <c r="DB99" i="7" s="1"/>
  <c r="Z99" i="7"/>
  <c r="Y99" i="7"/>
  <c r="X99" i="7"/>
  <c r="J99" i="7"/>
  <c r="I99" i="7"/>
  <c r="G99" i="7"/>
  <c r="F99" i="7"/>
  <c r="E99" i="7"/>
  <c r="CF98" i="7"/>
  <c r="CE98" i="7"/>
  <c r="CD98" i="7"/>
  <c r="CC98" i="7"/>
  <c r="CB98" i="7"/>
  <c r="CA98" i="7"/>
  <c r="BW98" i="7"/>
  <c r="BV98" i="7"/>
  <c r="BU98" i="7"/>
  <c r="BT98" i="7"/>
  <c r="BS98" i="7"/>
  <c r="BP98" i="7"/>
  <c r="BN98" i="7"/>
  <c r="BL98" i="7"/>
  <c r="BJ98" i="7"/>
  <c r="BI98" i="7"/>
  <c r="BH98" i="7"/>
  <c r="BE98" i="7"/>
  <c r="BD98" i="7"/>
  <c r="BC98" i="7"/>
  <c r="BB98" i="7"/>
  <c r="BA98" i="7"/>
  <c r="AZ98" i="7"/>
  <c r="AY98" i="7"/>
  <c r="AX98" i="7"/>
  <c r="AW98" i="7"/>
  <c r="AV98" i="7"/>
  <c r="AU98" i="7"/>
  <c r="AQ98" i="7"/>
  <c r="AP98" i="7"/>
  <c r="AG98" i="7"/>
  <c r="AF98" i="7"/>
  <c r="AA98" i="7"/>
  <c r="Z98" i="7"/>
  <c r="Y98" i="7"/>
  <c r="X98" i="7"/>
  <c r="J98" i="7"/>
  <c r="I98" i="7"/>
  <c r="G98" i="7"/>
  <c r="H98" i="7" s="1"/>
  <c r="F98" i="7"/>
  <c r="E98" i="7"/>
  <c r="CF97" i="7"/>
  <c r="DC97" i="7" s="1"/>
  <c r="CE97" i="7"/>
  <c r="CD97" i="7"/>
  <c r="CC97" i="7"/>
  <c r="CB97" i="7"/>
  <c r="CA97" i="7"/>
  <c r="BW97" i="7"/>
  <c r="BV97" i="7"/>
  <c r="BU97" i="7"/>
  <c r="BT97" i="7"/>
  <c r="BS97" i="7"/>
  <c r="BP97" i="7"/>
  <c r="BN97" i="7"/>
  <c r="BL97" i="7"/>
  <c r="BJ97" i="7"/>
  <c r="BI97" i="7"/>
  <c r="BH97" i="7"/>
  <c r="BE97" i="7"/>
  <c r="BD97" i="7"/>
  <c r="BC97" i="7"/>
  <c r="BB97" i="7"/>
  <c r="BA97" i="7"/>
  <c r="AZ97" i="7"/>
  <c r="AY97" i="7"/>
  <c r="AX97" i="7"/>
  <c r="AW97" i="7"/>
  <c r="AV97" i="7"/>
  <c r="AU97" i="7"/>
  <c r="AQ97" i="7"/>
  <c r="AP97" i="7"/>
  <c r="AG97" i="7"/>
  <c r="AF97" i="7"/>
  <c r="AA97" i="7"/>
  <c r="Z97" i="7"/>
  <c r="Y97" i="7"/>
  <c r="X97" i="7"/>
  <c r="J97" i="7"/>
  <c r="I97" i="7"/>
  <c r="G97" i="7"/>
  <c r="F97" i="7"/>
  <c r="E97" i="7"/>
  <c r="CF96" i="7"/>
  <c r="CE96" i="7"/>
  <c r="CD96" i="7"/>
  <c r="CC96" i="7"/>
  <c r="CB96" i="7"/>
  <c r="CA96" i="7"/>
  <c r="BW96" i="7"/>
  <c r="BV96" i="7"/>
  <c r="BU96" i="7"/>
  <c r="BT96" i="7"/>
  <c r="BS96" i="7"/>
  <c r="BP96" i="7"/>
  <c r="BN96" i="7"/>
  <c r="BL96" i="7"/>
  <c r="BJ96" i="7"/>
  <c r="BI96" i="7"/>
  <c r="BH96" i="7"/>
  <c r="BE96" i="7"/>
  <c r="BD96" i="7"/>
  <c r="BC96" i="7"/>
  <c r="BB96" i="7"/>
  <c r="BA96" i="7"/>
  <c r="AZ96" i="7"/>
  <c r="AY96" i="7"/>
  <c r="AX96" i="7"/>
  <c r="AW96" i="7"/>
  <c r="AV96" i="7"/>
  <c r="AU96" i="7"/>
  <c r="AQ96" i="7"/>
  <c r="AP96" i="7"/>
  <c r="AG96" i="7"/>
  <c r="AF96" i="7"/>
  <c r="AA96" i="7"/>
  <c r="Z96" i="7"/>
  <c r="Y96" i="7"/>
  <c r="X96" i="7"/>
  <c r="J96" i="7"/>
  <c r="I96" i="7"/>
  <c r="G96" i="7"/>
  <c r="F96" i="7"/>
  <c r="E96" i="7"/>
  <c r="CF95" i="7"/>
  <c r="CE95" i="7"/>
  <c r="CD95" i="7"/>
  <c r="CC95" i="7"/>
  <c r="CB95" i="7"/>
  <c r="CA95" i="7"/>
  <c r="BW95" i="7"/>
  <c r="BV95" i="7"/>
  <c r="BU95" i="7"/>
  <c r="BT95" i="7"/>
  <c r="BS95" i="7"/>
  <c r="BP95" i="7"/>
  <c r="BN95" i="7"/>
  <c r="BL95" i="7"/>
  <c r="BJ95" i="7"/>
  <c r="BI95" i="7"/>
  <c r="BH95" i="7"/>
  <c r="BE95" i="7"/>
  <c r="BD95" i="7"/>
  <c r="BC95" i="7"/>
  <c r="BB95" i="7"/>
  <c r="BA95" i="7"/>
  <c r="AZ95" i="7"/>
  <c r="AY95" i="7"/>
  <c r="AX95" i="7"/>
  <c r="AW95" i="7"/>
  <c r="AV95" i="7"/>
  <c r="AU95" i="7"/>
  <c r="AQ95" i="7"/>
  <c r="AP95" i="7"/>
  <c r="AG95" i="7"/>
  <c r="AF95" i="7"/>
  <c r="AA95" i="7"/>
  <c r="Z95" i="7"/>
  <c r="Y95" i="7"/>
  <c r="X95" i="7"/>
  <c r="J95" i="7"/>
  <c r="I95" i="7"/>
  <c r="G95" i="7"/>
  <c r="H95" i="7" s="1"/>
  <c r="F95" i="7"/>
  <c r="E95" i="7"/>
  <c r="CF94" i="7"/>
  <c r="CE94" i="7"/>
  <c r="CD94" i="7"/>
  <c r="CC94" i="7"/>
  <c r="CB94" i="7"/>
  <c r="CA94" i="7"/>
  <c r="BW94" i="7"/>
  <c r="BV94" i="7"/>
  <c r="BU94" i="7"/>
  <c r="BT94" i="7"/>
  <c r="BS94" i="7"/>
  <c r="BP94" i="7"/>
  <c r="BN94" i="7"/>
  <c r="BL94" i="7"/>
  <c r="BJ94" i="7"/>
  <c r="BI94" i="7"/>
  <c r="BH94" i="7"/>
  <c r="BE94" i="7"/>
  <c r="BD94" i="7"/>
  <c r="BC94" i="7"/>
  <c r="BB94" i="7"/>
  <c r="BA94" i="7"/>
  <c r="AZ94" i="7"/>
  <c r="AY94" i="7"/>
  <c r="AX94" i="7"/>
  <c r="AW94" i="7"/>
  <c r="AV94" i="7"/>
  <c r="AU94" i="7"/>
  <c r="AQ94" i="7"/>
  <c r="AP94" i="7"/>
  <c r="AG94" i="7"/>
  <c r="AF94" i="7"/>
  <c r="DB94" i="7" s="1"/>
  <c r="AA94" i="7"/>
  <c r="Z94" i="7"/>
  <c r="Y94" i="7"/>
  <c r="X94" i="7"/>
  <c r="J94" i="7"/>
  <c r="I94" i="7"/>
  <c r="G94" i="7"/>
  <c r="F94" i="7"/>
  <c r="E94" i="7"/>
  <c r="CF93" i="7"/>
  <c r="CE93" i="7"/>
  <c r="CD93" i="7"/>
  <c r="CC93" i="7"/>
  <c r="CB93" i="7"/>
  <c r="CA93" i="7"/>
  <c r="BW93" i="7"/>
  <c r="BV93" i="7"/>
  <c r="BU93" i="7"/>
  <c r="BT93" i="7"/>
  <c r="BS93" i="7"/>
  <c r="BP93" i="7"/>
  <c r="BN93" i="7"/>
  <c r="BL93" i="7"/>
  <c r="BJ93" i="7"/>
  <c r="BI93" i="7"/>
  <c r="BH93" i="7"/>
  <c r="BE93" i="7"/>
  <c r="BD93" i="7"/>
  <c r="BC93" i="7"/>
  <c r="BB93" i="7"/>
  <c r="BA93" i="7"/>
  <c r="AZ93" i="7"/>
  <c r="AY93" i="7"/>
  <c r="AX93" i="7"/>
  <c r="AW93" i="7"/>
  <c r="AV93" i="7"/>
  <c r="AU93" i="7"/>
  <c r="AQ93" i="7"/>
  <c r="AP93" i="7"/>
  <c r="AG93" i="7"/>
  <c r="AF93" i="7"/>
  <c r="DB93" i="7" s="1"/>
  <c r="AA93" i="7"/>
  <c r="Z93" i="7"/>
  <c r="Y93" i="7"/>
  <c r="X93" i="7"/>
  <c r="J93" i="7"/>
  <c r="I93" i="7"/>
  <c r="G93" i="7"/>
  <c r="F93" i="7"/>
  <c r="E93" i="7"/>
  <c r="CF92" i="7"/>
  <c r="CE92" i="7"/>
  <c r="CD92" i="7"/>
  <c r="CC92" i="7"/>
  <c r="DC92" i="7" s="1"/>
  <c r="CB92" i="7"/>
  <c r="CA92" i="7"/>
  <c r="BW92" i="7"/>
  <c r="BV92" i="7"/>
  <c r="BU92" i="7"/>
  <c r="BT92" i="7"/>
  <c r="BS92" i="7"/>
  <c r="BP92" i="7"/>
  <c r="BN92" i="7"/>
  <c r="BL92" i="7"/>
  <c r="BJ92" i="7"/>
  <c r="BI92" i="7"/>
  <c r="BH92" i="7"/>
  <c r="BE92" i="7"/>
  <c r="BD92" i="7"/>
  <c r="BC92" i="7"/>
  <c r="BB92" i="7"/>
  <c r="BA92" i="7"/>
  <c r="AZ92" i="7"/>
  <c r="AY92" i="7"/>
  <c r="AX92" i="7"/>
  <c r="AW92" i="7"/>
  <c r="AV92" i="7"/>
  <c r="AU92" i="7"/>
  <c r="AQ92" i="7"/>
  <c r="AP92" i="7"/>
  <c r="AG92" i="7"/>
  <c r="AF92" i="7"/>
  <c r="AA92" i="7"/>
  <c r="Z92" i="7"/>
  <c r="Y92" i="7"/>
  <c r="X92" i="7"/>
  <c r="J92" i="7"/>
  <c r="I92" i="7"/>
  <c r="G92" i="7"/>
  <c r="F92" i="7"/>
  <c r="E92" i="7"/>
  <c r="CF91" i="7"/>
  <c r="CE91" i="7"/>
  <c r="CD91" i="7"/>
  <c r="CC91" i="7"/>
  <c r="CB91" i="7"/>
  <c r="CA91" i="7"/>
  <c r="BW91" i="7"/>
  <c r="BV91" i="7"/>
  <c r="BU91" i="7"/>
  <c r="BT91" i="7"/>
  <c r="BS91" i="7"/>
  <c r="BP91" i="7"/>
  <c r="BN91" i="7"/>
  <c r="BL91" i="7"/>
  <c r="BJ91" i="7"/>
  <c r="BI91" i="7"/>
  <c r="BH91" i="7"/>
  <c r="BE91" i="7"/>
  <c r="BD91" i="7"/>
  <c r="BC91" i="7"/>
  <c r="BB91" i="7"/>
  <c r="BA91" i="7"/>
  <c r="AZ91" i="7"/>
  <c r="AY91" i="7"/>
  <c r="AX91" i="7"/>
  <c r="AW91" i="7"/>
  <c r="AV91" i="7"/>
  <c r="AU91" i="7"/>
  <c r="AQ91" i="7"/>
  <c r="AP91" i="7"/>
  <c r="AG91" i="7"/>
  <c r="AF91" i="7"/>
  <c r="AA91" i="7"/>
  <c r="DB91" i="7" s="1"/>
  <c r="Z91" i="7"/>
  <c r="Y91" i="7"/>
  <c r="X91" i="7"/>
  <c r="J91" i="7"/>
  <c r="I91" i="7"/>
  <c r="G91" i="7"/>
  <c r="F91" i="7"/>
  <c r="E91" i="7"/>
  <c r="CF90" i="7"/>
  <c r="CE90" i="7"/>
  <c r="CD90" i="7"/>
  <c r="CC90" i="7"/>
  <c r="CB90" i="7"/>
  <c r="CA90" i="7"/>
  <c r="BW90" i="7"/>
  <c r="BV90" i="7"/>
  <c r="BU90" i="7"/>
  <c r="BT90" i="7"/>
  <c r="BS90" i="7"/>
  <c r="BP90" i="7"/>
  <c r="BN90" i="7"/>
  <c r="BL90" i="7"/>
  <c r="BJ90" i="7"/>
  <c r="BI90" i="7"/>
  <c r="BH90" i="7"/>
  <c r="BE90" i="7"/>
  <c r="BD90" i="7"/>
  <c r="BC90" i="7"/>
  <c r="BB90" i="7"/>
  <c r="BA90" i="7"/>
  <c r="AZ90" i="7"/>
  <c r="AY90" i="7"/>
  <c r="AX90" i="7"/>
  <c r="AW90" i="7"/>
  <c r="AV90" i="7"/>
  <c r="AU90" i="7"/>
  <c r="AQ90" i="7"/>
  <c r="AP90" i="7"/>
  <c r="AG90" i="7"/>
  <c r="AF90" i="7"/>
  <c r="AA90" i="7"/>
  <c r="Z90" i="7"/>
  <c r="Y90" i="7"/>
  <c r="X90" i="7"/>
  <c r="J90" i="7"/>
  <c r="I90" i="7"/>
  <c r="G90" i="7"/>
  <c r="F90" i="7"/>
  <c r="E90" i="7"/>
  <c r="CF89" i="7"/>
  <c r="CE89" i="7"/>
  <c r="CD89" i="7"/>
  <c r="CC89" i="7"/>
  <c r="CB89" i="7"/>
  <c r="CA89" i="7"/>
  <c r="BW89" i="7"/>
  <c r="BV89" i="7"/>
  <c r="BU89" i="7"/>
  <c r="BT89" i="7"/>
  <c r="BS89" i="7"/>
  <c r="BP89" i="7"/>
  <c r="BN89" i="7"/>
  <c r="BL89" i="7"/>
  <c r="BJ89" i="7"/>
  <c r="BI89" i="7"/>
  <c r="BH89" i="7"/>
  <c r="BE89" i="7"/>
  <c r="BD89" i="7"/>
  <c r="BC89" i="7"/>
  <c r="BB89" i="7"/>
  <c r="BA89" i="7"/>
  <c r="AZ89" i="7"/>
  <c r="AY89" i="7"/>
  <c r="AX89" i="7"/>
  <c r="AW89" i="7"/>
  <c r="AV89" i="7"/>
  <c r="AU89" i="7"/>
  <c r="AQ89" i="7"/>
  <c r="AP89" i="7"/>
  <c r="AG89" i="7"/>
  <c r="AF89" i="7"/>
  <c r="AA89" i="7"/>
  <c r="Z89" i="7"/>
  <c r="Y89" i="7"/>
  <c r="X89" i="7"/>
  <c r="J89" i="7"/>
  <c r="I89" i="7"/>
  <c r="G89" i="7"/>
  <c r="F89" i="7"/>
  <c r="E89" i="7"/>
  <c r="CF88" i="7"/>
  <c r="CE88" i="7"/>
  <c r="CD88" i="7"/>
  <c r="CC88" i="7"/>
  <c r="DC88" i="7" s="1"/>
  <c r="CB88" i="7"/>
  <c r="CA88" i="7"/>
  <c r="BW88" i="7"/>
  <c r="BV88" i="7"/>
  <c r="BU88" i="7"/>
  <c r="BT88" i="7"/>
  <c r="BS88" i="7"/>
  <c r="BP88" i="7"/>
  <c r="BN88" i="7"/>
  <c r="BL88" i="7"/>
  <c r="BJ88" i="7"/>
  <c r="BI88" i="7"/>
  <c r="BH88" i="7"/>
  <c r="BE88" i="7"/>
  <c r="BD88" i="7"/>
  <c r="BC88" i="7"/>
  <c r="BB88" i="7"/>
  <c r="BA88" i="7"/>
  <c r="AZ88" i="7"/>
  <c r="AY88" i="7"/>
  <c r="AX88" i="7"/>
  <c r="AW88" i="7"/>
  <c r="AV88" i="7"/>
  <c r="AU88" i="7"/>
  <c r="AQ88" i="7"/>
  <c r="AP88" i="7"/>
  <c r="AG88" i="7"/>
  <c r="AF88" i="7"/>
  <c r="AA88" i="7"/>
  <c r="Z88" i="7"/>
  <c r="Y88" i="7"/>
  <c r="X88" i="7"/>
  <c r="J88" i="7"/>
  <c r="I88" i="7"/>
  <c r="G88" i="7"/>
  <c r="H88" i="7" s="1"/>
  <c r="F88" i="7"/>
  <c r="E88" i="7"/>
  <c r="CF87" i="7"/>
  <c r="CE87" i="7"/>
  <c r="CD87" i="7"/>
  <c r="CC87" i="7"/>
  <c r="CB87" i="7"/>
  <c r="CA87" i="7"/>
  <c r="BW87" i="7"/>
  <c r="BV87" i="7"/>
  <c r="BU87" i="7"/>
  <c r="BT87" i="7"/>
  <c r="BS87" i="7"/>
  <c r="BP87" i="7"/>
  <c r="BN87" i="7"/>
  <c r="BL87" i="7"/>
  <c r="BJ87" i="7"/>
  <c r="BI87" i="7"/>
  <c r="BH87" i="7"/>
  <c r="BE87" i="7"/>
  <c r="BD87" i="7"/>
  <c r="BC87" i="7"/>
  <c r="BB87" i="7"/>
  <c r="BA87" i="7"/>
  <c r="AZ87" i="7"/>
  <c r="AY87" i="7"/>
  <c r="AX87" i="7"/>
  <c r="AW87" i="7"/>
  <c r="AV87" i="7"/>
  <c r="AU87" i="7"/>
  <c r="AQ87" i="7"/>
  <c r="AP87" i="7"/>
  <c r="AG87" i="7"/>
  <c r="AF87" i="7"/>
  <c r="AA87" i="7"/>
  <c r="Z87" i="7"/>
  <c r="Y87" i="7"/>
  <c r="X87" i="7"/>
  <c r="J87" i="7"/>
  <c r="I87" i="7"/>
  <c r="G87" i="7"/>
  <c r="F87" i="7"/>
  <c r="E87" i="7"/>
  <c r="CF86" i="7"/>
  <c r="CE86" i="7"/>
  <c r="CD86" i="7"/>
  <c r="CC86" i="7"/>
  <c r="DC86" i="7" s="1"/>
  <c r="CB86" i="7"/>
  <c r="CA86" i="7"/>
  <c r="BW86" i="7"/>
  <c r="BV86" i="7"/>
  <c r="BU86" i="7"/>
  <c r="BT86" i="7"/>
  <c r="BS86" i="7"/>
  <c r="BP86" i="7"/>
  <c r="BN86" i="7"/>
  <c r="BL86" i="7"/>
  <c r="BJ86" i="7"/>
  <c r="BI86" i="7"/>
  <c r="BH86" i="7"/>
  <c r="BE86" i="7"/>
  <c r="BD86" i="7"/>
  <c r="BC86" i="7"/>
  <c r="BB86" i="7"/>
  <c r="BA86" i="7"/>
  <c r="AZ86" i="7"/>
  <c r="AY86" i="7"/>
  <c r="AX86" i="7"/>
  <c r="AW86" i="7"/>
  <c r="AV86" i="7"/>
  <c r="AU86" i="7"/>
  <c r="AQ86" i="7"/>
  <c r="AP86" i="7"/>
  <c r="AG86" i="7"/>
  <c r="AF86" i="7"/>
  <c r="DB86" i="7" s="1"/>
  <c r="AA86" i="7"/>
  <c r="Z86" i="7"/>
  <c r="Y86" i="7"/>
  <c r="X86" i="7"/>
  <c r="J86" i="7"/>
  <c r="I86" i="7"/>
  <c r="G86" i="7"/>
  <c r="F86" i="7"/>
  <c r="E86" i="7"/>
  <c r="CF85" i="7"/>
  <c r="CE85" i="7"/>
  <c r="CD85" i="7"/>
  <c r="CC85" i="7"/>
  <c r="CB85" i="7"/>
  <c r="CA85" i="7"/>
  <c r="BW85" i="7"/>
  <c r="BV85" i="7"/>
  <c r="BU85" i="7"/>
  <c r="BT85" i="7"/>
  <c r="BS85" i="7"/>
  <c r="BP85" i="7"/>
  <c r="BN85" i="7"/>
  <c r="BL85" i="7"/>
  <c r="BJ85" i="7"/>
  <c r="BI85" i="7"/>
  <c r="BH85" i="7"/>
  <c r="BE85" i="7"/>
  <c r="BD85" i="7"/>
  <c r="BC85" i="7"/>
  <c r="BB85" i="7"/>
  <c r="BA85" i="7"/>
  <c r="AZ85" i="7"/>
  <c r="AY85" i="7"/>
  <c r="AX85" i="7"/>
  <c r="AW85" i="7"/>
  <c r="AV85" i="7"/>
  <c r="AU85" i="7"/>
  <c r="AQ85" i="7"/>
  <c r="AP85" i="7"/>
  <c r="AG85" i="7"/>
  <c r="AF85" i="7"/>
  <c r="DB85" i="7" s="1"/>
  <c r="AA85" i="7"/>
  <c r="Z85" i="7"/>
  <c r="Y85" i="7"/>
  <c r="X85" i="7"/>
  <c r="J85" i="7"/>
  <c r="I85" i="7"/>
  <c r="G85" i="7"/>
  <c r="H85" i="7" s="1"/>
  <c r="F85" i="7"/>
  <c r="E85" i="7"/>
  <c r="CF84" i="7"/>
  <c r="CE84" i="7"/>
  <c r="CD84" i="7"/>
  <c r="CC84" i="7"/>
  <c r="CB84" i="7"/>
  <c r="CA84" i="7"/>
  <c r="BW84" i="7"/>
  <c r="BV84" i="7"/>
  <c r="BU84" i="7"/>
  <c r="BT84" i="7"/>
  <c r="BS84" i="7"/>
  <c r="BP84" i="7"/>
  <c r="BN84" i="7"/>
  <c r="BL84" i="7"/>
  <c r="BJ84" i="7"/>
  <c r="BI84" i="7"/>
  <c r="BH84" i="7"/>
  <c r="BE84" i="7"/>
  <c r="BD84" i="7"/>
  <c r="BC84" i="7"/>
  <c r="BB84" i="7"/>
  <c r="BA84" i="7"/>
  <c r="AZ84" i="7"/>
  <c r="AY84" i="7"/>
  <c r="AX84" i="7"/>
  <c r="AW84" i="7"/>
  <c r="AV84" i="7"/>
  <c r="AU84" i="7"/>
  <c r="AQ84" i="7"/>
  <c r="AP84" i="7"/>
  <c r="AG84" i="7"/>
  <c r="AF84" i="7"/>
  <c r="AA84" i="7"/>
  <c r="Z84" i="7"/>
  <c r="Y84" i="7"/>
  <c r="X84" i="7"/>
  <c r="J84" i="7"/>
  <c r="I84" i="7"/>
  <c r="G84" i="7"/>
  <c r="F84" i="7"/>
  <c r="E84" i="7"/>
  <c r="CF83" i="7"/>
  <c r="CE83" i="7"/>
  <c r="CD83" i="7"/>
  <c r="CC83" i="7"/>
  <c r="CB83" i="7"/>
  <c r="CA83" i="7"/>
  <c r="BW83" i="7"/>
  <c r="BV83" i="7"/>
  <c r="BU83" i="7"/>
  <c r="BT83" i="7"/>
  <c r="BS83" i="7"/>
  <c r="BP83" i="7"/>
  <c r="BN83" i="7"/>
  <c r="BL83" i="7"/>
  <c r="BJ83" i="7"/>
  <c r="BI83" i="7"/>
  <c r="BH83" i="7"/>
  <c r="BE83" i="7"/>
  <c r="BD83" i="7"/>
  <c r="BC83" i="7"/>
  <c r="BB83" i="7"/>
  <c r="BA83" i="7"/>
  <c r="AZ83" i="7"/>
  <c r="AY83" i="7"/>
  <c r="AX83" i="7"/>
  <c r="AW83" i="7"/>
  <c r="AV83" i="7"/>
  <c r="AU83" i="7"/>
  <c r="AQ83" i="7"/>
  <c r="AP83" i="7"/>
  <c r="AG83" i="7"/>
  <c r="AF83" i="7"/>
  <c r="AA83" i="7"/>
  <c r="DB83" i="7" s="1"/>
  <c r="Z83" i="7"/>
  <c r="Y83" i="7"/>
  <c r="X83" i="7"/>
  <c r="J83" i="7"/>
  <c r="I83" i="7"/>
  <c r="G83" i="7"/>
  <c r="F83" i="7"/>
  <c r="E83" i="7"/>
  <c r="CF82" i="7"/>
  <c r="CE82" i="7"/>
  <c r="CD82" i="7"/>
  <c r="CC82" i="7"/>
  <c r="CB82" i="7"/>
  <c r="CA82" i="7"/>
  <c r="BW82" i="7"/>
  <c r="BV82" i="7"/>
  <c r="BU82" i="7"/>
  <c r="BT82" i="7"/>
  <c r="BS82" i="7"/>
  <c r="BP82" i="7"/>
  <c r="BN82" i="7"/>
  <c r="BL82" i="7"/>
  <c r="BJ82" i="7"/>
  <c r="BI82" i="7"/>
  <c r="BH82" i="7"/>
  <c r="BE82" i="7"/>
  <c r="BD82" i="7"/>
  <c r="BC82" i="7"/>
  <c r="BB82" i="7"/>
  <c r="BA82" i="7"/>
  <c r="AZ82" i="7"/>
  <c r="AY82" i="7"/>
  <c r="AX82" i="7"/>
  <c r="AW82" i="7"/>
  <c r="AV82" i="7"/>
  <c r="AU82" i="7"/>
  <c r="AQ82" i="7"/>
  <c r="AP82" i="7"/>
  <c r="AG82" i="7"/>
  <c r="AF82" i="7"/>
  <c r="AA82" i="7"/>
  <c r="Z82" i="7"/>
  <c r="Y82" i="7"/>
  <c r="X82" i="7"/>
  <c r="J82" i="7"/>
  <c r="I82" i="7"/>
  <c r="G82" i="7"/>
  <c r="F82" i="7"/>
  <c r="E82" i="7"/>
  <c r="CF81" i="7"/>
  <c r="CE81" i="7"/>
  <c r="CD81" i="7"/>
  <c r="CC81" i="7"/>
  <c r="CB81" i="7"/>
  <c r="CA81" i="7"/>
  <c r="BW81" i="7"/>
  <c r="BV81" i="7"/>
  <c r="BU81" i="7"/>
  <c r="BT81" i="7"/>
  <c r="BS81" i="7"/>
  <c r="BP81" i="7"/>
  <c r="BN81" i="7"/>
  <c r="BL81" i="7"/>
  <c r="BJ81" i="7"/>
  <c r="BI81" i="7"/>
  <c r="BH81" i="7"/>
  <c r="BE81" i="7"/>
  <c r="BD81" i="7"/>
  <c r="BC81" i="7"/>
  <c r="BB81" i="7"/>
  <c r="BA81" i="7"/>
  <c r="AZ81" i="7"/>
  <c r="AY81" i="7"/>
  <c r="AX81" i="7"/>
  <c r="AW81" i="7"/>
  <c r="AV81" i="7"/>
  <c r="AU81" i="7"/>
  <c r="AQ81" i="7"/>
  <c r="AP81" i="7"/>
  <c r="AG81" i="7"/>
  <c r="AF81" i="7"/>
  <c r="AA81" i="7"/>
  <c r="Z81" i="7"/>
  <c r="Y81" i="7"/>
  <c r="X81" i="7"/>
  <c r="J81" i="7"/>
  <c r="I81" i="7"/>
  <c r="G81" i="7"/>
  <c r="H81" i="7" s="1"/>
  <c r="F81" i="7"/>
  <c r="E81" i="7"/>
  <c r="CF80" i="7"/>
  <c r="CE80" i="7"/>
  <c r="CD80" i="7"/>
  <c r="CC80" i="7"/>
  <c r="DC80" i="7" s="1"/>
  <c r="CB80" i="7"/>
  <c r="CA80" i="7"/>
  <c r="BW80" i="7"/>
  <c r="BV80" i="7"/>
  <c r="BU80" i="7"/>
  <c r="BT80" i="7"/>
  <c r="BS80" i="7"/>
  <c r="BP80" i="7"/>
  <c r="BN80" i="7"/>
  <c r="BL80" i="7"/>
  <c r="BJ80" i="7"/>
  <c r="BI80" i="7"/>
  <c r="BH80" i="7"/>
  <c r="BE80" i="7"/>
  <c r="BD80" i="7"/>
  <c r="BC80" i="7"/>
  <c r="BB80" i="7"/>
  <c r="BA80" i="7"/>
  <c r="AZ80" i="7"/>
  <c r="AY80" i="7"/>
  <c r="AX80" i="7"/>
  <c r="AW80" i="7"/>
  <c r="AV80" i="7"/>
  <c r="AU80" i="7"/>
  <c r="AQ80" i="7"/>
  <c r="AP80" i="7"/>
  <c r="AG80" i="7"/>
  <c r="AF80" i="7"/>
  <c r="AA80" i="7"/>
  <c r="Z80" i="7"/>
  <c r="Y80" i="7"/>
  <c r="X80" i="7"/>
  <c r="J80" i="7"/>
  <c r="I80" i="7"/>
  <c r="G80" i="7"/>
  <c r="H80" i="7" s="1"/>
  <c r="F80" i="7"/>
  <c r="E80" i="7"/>
  <c r="CF79" i="7"/>
  <c r="CE79" i="7"/>
  <c r="CD79" i="7"/>
  <c r="CC79" i="7"/>
  <c r="CB79" i="7"/>
  <c r="CA79" i="7"/>
  <c r="BW79" i="7"/>
  <c r="BV79" i="7"/>
  <c r="BU79" i="7"/>
  <c r="BT79" i="7"/>
  <c r="BS79" i="7"/>
  <c r="BP79" i="7"/>
  <c r="BN79" i="7"/>
  <c r="BL79" i="7"/>
  <c r="BJ79" i="7"/>
  <c r="BI79" i="7"/>
  <c r="BH79" i="7"/>
  <c r="BE79" i="7"/>
  <c r="BD79" i="7"/>
  <c r="BC79" i="7"/>
  <c r="BB79" i="7"/>
  <c r="BA79" i="7"/>
  <c r="AZ79" i="7"/>
  <c r="AY79" i="7"/>
  <c r="AX79" i="7"/>
  <c r="AW79" i="7"/>
  <c r="AV79" i="7"/>
  <c r="AU79" i="7"/>
  <c r="AQ79" i="7"/>
  <c r="AP79" i="7"/>
  <c r="AG79" i="7"/>
  <c r="AF79" i="7"/>
  <c r="AA79" i="7"/>
  <c r="DB79" i="7" s="1"/>
  <c r="Z79" i="7"/>
  <c r="Y79" i="7"/>
  <c r="X79" i="7"/>
  <c r="J79" i="7"/>
  <c r="I79" i="7"/>
  <c r="G79" i="7"/>
  <c r="F79" i="7"/>
  <c r="E79" i="7"/>
  <c r="CF78" i="7"/>
  <c r="CE78" i="7"/>
  <c r="CD78" i="7"/>
  <c r="CC78" i="7"/>
  <c r="DC78" i="7" s="1"/>
  <c r="CB78" i="7"/>
  <c r="CA78" i="7"/>
  <c r="BW78" i="7"/>
  <c r="BV78" i="7"/>
  <c r="BU78" i="7"/>
  <c r="BT78" i="7"/>
  <c r="BS78" i="7"/>
  <c r="BP78" i="7"/>
  <c r="BN78" i="7"/>
  <c r="BL78" i="7"/>
  <c r="BJ78" i="7"/>
  <c r="BI78" i="7"/>
  <c r="BH78" i="7"/>
  <c r="BE78" i="7"/>
  <c r="BD78" i="7"/>
  <c r="BC78" i="7"/>
  <c r="BB78" i="7"/>
  <c r="BA78" i="7"/>
  <c r="AZ78" i="7"/>
  <c r="AY78" i="7"/>
  <c r="AX78" i="7"/>
  <c r="AW78" i="7"/>
  <c r="AV78" i="7"/>
  <c r="AU78" i="7"/>
  <c r="AQ78" i="7"/>
  <c r="AP78" i="7"/>
  <c r="AG78" i="7"/>
  <c r="AF78" i="7"/>
  <c r="DB78" i="7" s="1"/>
  <c r="AA78" i="7"/>
  <c r="Z78" i="7"/>
  <c r="Y78" i="7"/>
  <c r="X78" i="7"/>
  <c r="J78" i="7"/>
  <c r="I78" i="7"/>
  <c r="G78" i="7"/>
  <c r="F78" i="7"/>
  <c r="E78" i="7"/>
  <c r="CF77" i="7"/>
  <c r="CE77" i="7"/>
  <c r="CD77" i="7"/>
  <c r="CC77" i="7"/>
  <c r="CB77" i="7"/>
  <c r="CA77" i="7"/>
  <c r="BW77" i="7"/>
  <c r="BV77" i="7"/>
  <c r="BU77" i="7"/>
  <c r="BT77" i="7"/>
  <c r="BS77" i="7"/>
  <c r="BP77" i="7"/>
  <c r="BN77" i="7"/>
  <c r="BL77" i="7"/>
  <c r="BJ77" i="7"/>
  <c r="BI77" i="7"/>
  <c r="BH77" i="7"/>
  <c r="BE77" i="7"/>
  <c r="BD77" i="7"/>
  <c r="BC77" i="7"/>
  <c r="BB77" i="7"/>
  <c r="BA77" i="7"/>
  <c r="AZ77" i="7"/>
  <c r="AY77" i="7"/>
  <c r="AX77" i="7"/>
  <c r="AW77" i="7"/>
  <c r="AV77" i="7"/>
  <c r="AU77" i="7"/>
  <c r="AQ77" i="7"/>
  <c r="AP77" i="7"/>
  <c r="AG77" i="7"/>
  <c r="AF77" i="7"/>
  <c r="DB77" i="7" s="1"/>
  <c r="AA77" i="7"/>
  <c r="Z77" i="7"/>
  <c r="Y77" i="7"/>
  <c r="X77" i="7"/>
  <c r="J77" i="7"/>
  <c r="I77" i="7"/>
  <c r="G77" i="7"/>
  <c r="H77" i="7" s="1"/>
  <c r="F77" i="7"/>
  <c r="E77" i="7"/>
  <c r="CF76" i="7"/>
  <c r="CE76" i="7"/>
  <c r="CD76" i="7"/>
  <c r="CC76" i="7"/>
  <c r="CB76" i="7"/>
  <c r="CA76" i="7"/>
  <c r="BW76" i="7"/>
  <c r="BV76" i="7"/>
  <c r="BU76" i="7"/>
  <c r="BT76" i="7"/>
  <c r="BS76" i="7"/>
  <c r="BP76" i="7"/>
  <c r="BN76" i="7"/>
  <c r="BL76" i="7"/>
  <c r="BJ76" i="7"/>
  <c r="BI76" i="7"/>
  <c r="BH76" i="7"/>
  <c r="BE76" i="7"/>
  <c r="BD76" i="7"/>
  <c r="BC76" i="7"/>
  <c r="BB76" i="7"/>
  <c r="BA76" i="7"/>
  <c r="AZ76" i="7"/>
  <c r="AY76" i="7"/>
  <c r="AX76" i="7"/>
  <c r="AW76" i="7"/>
  <c r="AV76" i="7"/>
  <c r="AU76" i="7"/>
  <c r="AQ76" i="7"/>
  <c r="AP76" i="7"/>
  <c r="AG76" i="7"/>
  <c r="AF76" i="7"/>
  <c r="AA76" i="7"/>
  <c r="Z76" i="7"/>
  <c r="Y76" i="7"/>
  <c r="X76" i="7"/>
  <c r="J76" i="7"/>
  <c r="I76" i="7"/>
  <c r="G76" i="7"/>
  <c r="F76" i="7"/>
  <c r="E76" i="7"/>
  <c r="CF75" i="7"/>
  <c r="CE75" i="7"/>
  <c r="CD75" i="7"/>
  <c r="CC75" i="7"/>
  <c r="CB75" i="7"/>
  <c r="CA75" i="7"/>
  <c r="BW75" i="7"/>
  <c r="BV75" i="7"/>
  <c r="BU75" i="7"/>
  <c r="BT75" i="7"/>
  <c r="BS75" i="7"/>
  <c r="BP75" i="7"/>
  <c r="BN75" i="7"/>
  <c r="BL75" i="7"/>
  <c r="BJ75" i="7"/>
  <c r="BI75" i="7"/>
  <c r="BH75" i="7"/>
  <c r="BE75" i="7"/>
  <c r="BD75" i="7"/>
  <c r="BC75" i="7"/>
  <c r="BB75" i="7"/>
  <c r="BA75" i="7"/>
  <c r="AZ75" i="7"/>
  <c r="AY75" i="7"/>
  <c r="AX75" i="7"/>
  <c r="AW75" i="7"/>
  <c r="AV75" i="7"/>
  <c r="AU75" i="7"/>
  <c r="AQ75" i="7"/>
  <c r="AP75" i="7"/>
  <c r="AG75" i="7"/>
  <c r="AF75" i="7"/>
  <c r="AA75" i="7"/>
  <c r="DB75" i="7" s="1"/>
  <c r="Z75" i="7"/>
  <c r="Y75" i="7"/>
  <c r="X75" i="7"/>
  <c r="J75" i="7"/>
  <c r="I75" i="7"/>
  <c r="G75" i="7"/>
  <c r="F75" i="7"/>
  <c r="E75" i="7"/>
  <c r="CF74" i="7"/>
  <c r="CE74" i="7"/>
  <c r="CD74" i="7"/>
  <c r="CC74" i="7"/>
  <c r="CB74" i="7"/>
  <c r="CA74" i="7"/>
  <c r="BW74" i="7"/>
  <c r="BV74" i="7"/>
  <c r="BU74" i="7"/>
  <c r="BT74" i="7"/>
  <c r="BS74" i="7"/>
  <c r="BP74" i="7"/>
  <c r="BN74" i="7"/>
  <c r="BL74" i="7"/>
  <c r="BJ74" i="7"/>
  <c r="BI74" i="7"/>
  <c r="BH74" i="7"/>
  <c r="BE74" i="7"/>
  <c r="BD74" i="7"/>
  <c r="BC74" i="7"/>
  <c r="BB74" i="7"/>
  <c r="BA74" i="7"/>
  <c r="AZ74" i="7"/>
  <c r="AY74" i="7"/>
  <c r="AX74" i="7"/>
  <c r="AW74" i="7"/>
  <c r="AV74" i="7"/>
  <c r="AU74" i="7"/>
  <c r="AQ74" i="7"/>
  <c r="AP74" i="7"/>
  <c r="AG74" i="7"/>
  <c r="AF74" i="7"/>
  <c r="AA74" i="7"/>
  <c r="Z74" i="7"/>
  <c r="Y74" i="7"/>
  <c r="X74" i="7"/>
  <c r="J74" i="7"/>
  <c r="I74" i="7"/>
  <c r="G74" i="7"/>
  <c r="F74" i="7"/>
  <c r="E74" i="7"/>
  <c r="CF73" i="7"/>
  <c r="CE73" i="7"/>
  <c r="CD73" i="7"/>
  <c r="CC73" i="7"/>
  <c r="CB73" i="7"/>
  <c r="CA73" i="7"/>
  <c r="BW73" i="7"/>
  <c r="BV73" i="7"/>
  <c r="BU73" i="7"/>
  <c r="BT73" i="7"/>
  <c r="BS73" i="7"/>
  <c r="BP73" i="7"/>
  <c r="BN73" i="7"/>
  <c r="BL73" i="7"/>
  <c r="BJ73" i="7"/>
  <c r="BI73" i="7"/>
  <c r="BH73" i="7"/>
  <c r="BE73" i="7"/>
  <c r="BD73" i="7"/>
  <c r="BC73" i="7"/>
  <c r="BB73" i="7"/>
  <c r="BA73" i="7"/>
  <c r="AZ73" i="7"/>
  <c r="AY73" i="7"/>
  <c r="AX73" i="7"/>
  <c r="AW73" i="7"/>
  <c r="AV73" i="7"/>
  <c r="AU73" i="7"/>
  <c r="AQ73" i="7"/>
  <c r="AP73" i="7"/>
  <c r="AG73" i="7"/>
  <c r="AF73" i="7"/>
  <c r="AA73" i="7"/>
  <c r="Z73" i="7"/>
  <c r="Y73" i="7"/>
  <c r="X73" i="7"/>
  <c r="J73" i="7"/>
  <c r="I73" i="7"/>
  <c r="G73" i="7"/>
  <c r="H73" i="7" s="1"/>
  <c r="F73" i="7"/>
  <c r="E73" i="7"/>
  <c r="CF72" i="7"/>
  <c r="CE72" i="7"/>
  <c r="CD72" i="7"/>
  <c r="CC72" i="7"/>
  <c r="CB72" i="7"/>
  <c r="CA72" i="7"/>
  <c r="BW72" i="7"/>
  <c r="BV72" i="7"/>
  <c r="BU72" i="7"/>
  <c r="BT72" i="7"/>
  <c r="BS72" i="7"/>
  <c r="BP72" i="7"/>
  <c r="BN72" i="7"/>
  <c r="BL72" i="7"/>
  <c r="BJ72" i="7"/>
  <c r="BI72" i="7"/>
  <c r="BH72" i="7"/>
  <c r="BE72" i="7"/>
  <c r="BD72" i="7"/>
  <c r="BC72" i="7"/>
  <c r="BB72" i="7"/>
  <c r="BA72" i="7"/>
  <c r="AZ72" i="7"/>
  <c r="AY72" i="7"/>
  <c r="AX72" i="7"/>
  <c r="AW72" i="7"/>
  <c r="AV72" i="7"/>
  <c r="AU72" i="7"/>
  <c r="AQ72" i="7"/>
  <c r="AP72" i="7"/>
  <c r="AG72" i="7"/>
  <c r="AF72" i="7"/>
  <c r="AA72" i="7"/>
  <c r="Z72" i="7"/>
  <c r="Y72" i="7"/>
  <c r="X72" i="7"/>
  <c r="J72" i="7"/>
  <c r="I72" i="7"/>
  <c r="G72" i="7"/>
  <c r="F72" i="7"/>
  <c r="E72" i="7"/>
  <c r="CF71" i="7"/>
  <c r="CE71" i="7"/>
  <c r="CD71" i="7"/>
  <c r="CC71" i="7"/>
  <c r="DC71" i="7" s="1"/>
  <c r="CB71" i="7"/>
  <c r="CA71" i="7"/>
  <c r="BW71" i="7"/>
  <c r="BV71" i="7"/>
  <c r="BU71" i="7"/>
  <c r="BT71" i="7"/>
  <c r="BS71" i="7"/>
  <c r="BP71" i="7"/>
  <c r="BN71" i="7"/>
  <c r="BL71" i="7"/>
  <c r="BJ71" i="7"/>
  <c r="BI71" i="7"/>
  <c r="BH71" i="7"/>
  <c r="BE71" i="7"/>
  <c r="BD71" i="7"/>
  <c r="BC71" i="7"/>
  <c r="BB71" i="7"/>
  <c r="BA71" i="7"/>
  <c r="AZ71" i="7"/>
  <c r="AY71" i="7"/>
  <c r="AX71" i="7"/>
  <c r="AW71" i="7"/>
  <c r="AV71" i="7"/>
  <c r="AU71" i="7"/>
  <c r="AQ71" i="7"/>
  <c r="AP71" i="7"/>
  <c r="AG71" i="7"/>
  <c r="AF71" i="7"/>
  <c r="AA71" i="7"/>
  <c r="DB71" i="7" s="1"/>
  <c r="Z71" i="7"/>
  <c r="Y71" i="7"/>
  <c r="X71" i="7"/>
  <c r="J71" i="7"/>
  <c r="I71" i="7"/>
  <c r="G71" i="7"/>
  <c r="F71" i="7"/>
  <c r="E71" i="7"/>
  <c r="CF70" i="7"/>
  <c r="CE70" i="7"/>
  <c r="CD70" i="7"/>
  <c r="CC70" i="7"/>
  <c r="DC70" i="7" s="1"/>
  <c r="CB70" i="7"/>
  <c r="CA70" i="7"/>
  <c r="BW70" i="7"/>
  <c r="BV70" i="7"/>
  <c r="BU70" i="7"/>
  <c r="BT70" i="7"/>
  <c r="BS70" i="7"/>
  <c r="BP70" i="7"/>
  <c r="BN70" i="7"/>
  <c r="BL70" i="7"/>
  <c r="BJ70" i="7"/>
  <c r="BI70" i="7"/>
  <c r="BH70" i="7"/>
  <c r="BE70" i="7"/>
  <c r="BD70" i="7"/>
  <c r="BC70" i="7"/>
  <c r="BB70" i="7"/>
  <c r="BA70" i="7"/>
  <c r="AZ70" i="7"/>
  <c r="AY70" i="7"/>
  <c r="AX70" i="7"/>
  <c r="AW70" i="7"/>
  <c r="AV70" i="7"/>
  <c r="AU70" i="7"/>
  <c r="AQ70" i="7"/>
  <c r="AP70" i="7"/>
  <c r="AG70" i="7"/>
  <c r="AF70" i="7"/>
  <c r="DB70" i="7" s="1"/>
  <c r="AA70" i="7"/>
  <c r="Z70" i="7"/>
  <c r="Y70" i="7"/>
  <c r="X70" i="7"/>
  <c r="J70" i="7"/>
  <c r="I70" i="7"/>
  <c r="G70" i="7"/>
  <c r="H70" i="7" s="1"/>
  <c r="F70" i="7"/>
  <c r="E70" i="7"/>
  <c r="CF69" i="7"/>
  <c r="CE69" i="7"/>
  <c r="CD69" i="7"/>
  <c r="DC69" i="7" s="1"/>
  <c r="CC69" i="7"/>
  <c r="CB69" i="7"/>
  <c r="CA69" i="7"/>
  <c r="BW69" i="7"/>
  <c r="BV69" i="7"/>
  <c r="BU69" i="7"/>
  <c r="BT69" i="7"/>
  <c r="BS69" i="7"/>
  <c r="BP69" i="7"/>
  <c r="BN69" i="7"/>
  <c r="BL69" i="7"/>
  <c r="BJ69" i="7"/>
  <c r="BI69" i="7"/>
  <c r="BH69" i="7"/>
  <c r="BE69" i="7"/>
  <c r="BD69" i="7"/>
  <c r="BC69" i="7"/>
  <c r="BB69" i="7"/>
  <c r="BA69" i="7"/>
  <c r="AZ69" i="7"/>
  <c r="AY69" i="7"/>
  <c r="AX69" i="7"/>
  <c r="AW69" i="7"/>
  <c r="AV69" i="7"/>
  <c r="AU69" i="7"/>
  <c r="AQ69" i="7"/>
  <c r="AP69" i="7"/>
  <c r="AG69" i="7"/>
  <c r="AF69" i="7"/>
  <c r="AA69" i="7"/>
  <c r="Z69" i="7"/>
  <c r="Y69" i="7"/>
  <c r="X69" i="7"/>
  <c r="J69" i="7"/>
  <c r="I69" i="7"/>
  <c r="G69" i="7"/>
  <c r="F69" i="7"/>
  <c r="E69" i="7"/>
  <c r="CF68" i="7"/>
  <c r="CE68" i="7"/>
  <c r="CD68" i="7"/>
  <c r="CC68" i="7"/>
  <c r="CB68" i="7"/>
  <c r="CA68" i="7"/>
  <c r="BW68" i="7"/>
  <c r="BV68" i="7"/>
  <c r="BU68" i="7"/>
  <c r="BT68" i="7"/>
  <c r="BS68" i="7"/>
  <c r="BP68" i="7"/>
  <c r="BN68" i="7"/>
  <c r="BL68" i="7"/>
  <c r="BJ68" i="7"/>
  <c r="BI68" i="7"/>
  <c r="BH68" i="7"/>
  <c r="BE68" i="7"/>
  <c r="BD68" i="7"/>
  <c r="BC68" i="7"/>
  <c r="BB68" i="7"/>
  <c r="BA68" i="7"/>
  <c r="AZ68" i="7"/>
  <c r="AY68" i="7"/>
  <c r="AX68" i="7"/>
  <c r="AW68" i="7"/>
  <c r="AV68" i="7"/>
  <c r="AU68" i="7"/>
  <c r="AQ68" i="7"/>
  <c r="AP68" i="7"/>
  <c r="AG68" i="7"/>
  <c r="AF68" i="7"/>
  <c r="AA68" i="7"/>
  <c r="Z68" i="7"/>
  <c r="Y68" i="7"/>
  <c r="X68" i="7"/>
  <c r="J68" i="7"/>
  <c r="I68" i="7"/>
  <c r="G68" i="7"/>
  <c r="F68" i="7"/>
  <c r="E68" i="7"/>
  <c r="CF67" i="7"/>
  <c r="CE67" i="7"/>
  <c r="CD67" i="7"/>
  <c r="CC67" i="7"/>
  <c r="CB67" i="7"/>
  <c r="CA67" i="7"/>
  <c r="BW67" i="7"/>
  <c r="BV67" i="7"/>
  <c r="BU67" i="7"/>
  <c r="BT67" i="7"/>
  <c r="BS67" i="7"/>
  <c r="BP67" i="7"/>
  <c r="BN67" i="7"/>
  <c r="BL67" i="7"/>
  <c r="BJ67" i="7"/>
  <c r="BI67" i="7"/>
  <c r="BH67" i="7"/>
  <c r="BE67" i="7"/>
  <c r="BD67" i="7"/>
  <c r="BC67" i="7"/>
  <c r="BB67" i="7"/>
  <c r="BA67" i="7"/>
  <c r="AZ67" i="7"/>
  <c r="AY67" i="7"/>
  <c r="AX67" i="7"/>
  <c r="AW67" i="7"/>
  <c r="AV67" i="7"/>
  <c r="AU67" i="7"/>
  <c r="AQ67" i="7"/>
  <c r="AP67" i="7"/>
  <c r="AG67" i="7"/>
  <c r="AF67" i="7"/>
  <c r="AA67" i="7"/>
  <c r="DB67" i="7" s="1"/>
  <c r="Z67" i="7"/>
  <c r="Y67" i="7"/>
  <c r="X67" i="7"/>
  <c r="J67" i="7"/>
  <c r="I67" i="7"/>
  <c r="G67" i="7"/>
  <c r="F67" i="7"/>
  <c r="E67" i="7"/>
  <c r="CF66" i="7"/>
  <c r="CE66" i="7"/>
  <c r="CD66" i="7"/>
  <c r="CC66" i="7"/>
  <c r="CB66" i="7"/>
  <c r="CA66" i="7"/>
  <c r="BW66" i="7"/>
  <c r="BV66" i="7"/>
  <c r="BU66" i="7"/>
  <c r="BT66" i="7"/>
  <c r="BS66" i="7"/>
  <c r="BP66" i="7"/>
  <c r="BN66" i="7"/>
  <c r="BL66" i="7"/>
  <c r="BJ66" i="7"/>
  <c r="BI66" i="7"/>
  <c r="BH66" i="7"/>
  <c r="BE66" i="7"/>
  <c r="BD66" i="7"/>
  <c r="BC66" i="7"/>
  <c r="BB66" i="7"/>
  <c r="BA66" i="7"/>
  <c r="AZ66" i="7"/>
  <c r="AY66" i="7"/>
  <c r="AX66" i="7"/>
  <c r="AW66" i="7"/>
  <c r="AV66" i="7"/>
  <c r="AU66" i="7"/>
  <c r="AQ66" i="7"/>
  <c r="AP66" i="7"/>
  <c r="AG66" i="7"/>
  <c r="AF66" i="7"/>
  <c r="AA66" i="7"/>
  <c r="Z66" i="7"/>
  <c r="Y66" i="7"/>
  <c r="X66" i="7"/>
  <c r="J66" i="7"/>
  <c r="I66" i="7"/>
  <c r="G66" i="7"/>
  <c r="F66" i="7"/>
  <c r="E66" i="7"/>
  <c r="CF65" i="7"/>
  <c r="CE65" i="7"/>
  <c r="CD65" i="7"/>
  <c r="CC65" i="7"/>
  <c r="CB65" i="7"/>
  <c r="CA65" i="7"/>
  <c r="BW65" i="7"/>
  <c r="BV65" i="7"/>
  <c r="BU65" i="7"/>
  <c r="BT65" i="7"/>
  <c r="BS65" i="7"/>
  <c r="BP65" i="7"/>
  <c r="BN65" i="7"/>
  <c r="BL65" i="7"/>
  <c r="BJ65" i="7"/>
  <c r="BI65" i="7"/>
  <c r="BH65" i="7"/>
  <c r="BE65" i="7"/>
  <c r="BD65" i="7"/>
  <c r="BC65" i="7"/>
  <c r="BB65" i="7"/>
  <c r="BA65" i="7"/>
  <c r="AZ65" i="7"/>
  <c r="AY65" i="7"/>
  <c r="AX65" i="7"/>
  <c r="AW65" i="7"/>
  <c r="AV65" i="7"/>
  <c r="AU65" i="7"/>
  <c r="AQ65" i="7"/>
  <c r="AP65" i="7"/>
  <c r="AG65" i="7"/>
  <c r="AF65" i="7"/>
  <c r="AA65" i="7"/>
  <c r="Z65" i="7"/>
  <c r="Y65" i="7"/>
  <c r="X65" i="7"/>
  <c r="J65" i="7"/>
  <c r="I65" i="7"/>
  <c r="G65" i="7"/>
  <c r="F65" i="7"/>
  <c r="E65" i="7"/>
  <c r="CF64" i="7"/>
  <c r="CE64" i="7"/>
  <c r="CD64" i="7"/>
  <c r="CC64" i="7"/>
  <c r="DC64" i="7" s="1"/>
  <c r="CB64" i="7"/>
  <c r="CA64" i="7"/>
  <c r="BW64" i="7"/>
  <c r="BV64" i="7"/>
  <c r="BU64" i="7"/>
  <c r="BT64" i="7"/>
  <c r="BS64" i="7"/>
  <c r="BP64" i="7"/>
  <c r="BN64" i="7"/>
  <c r="BL64" i="7"/>
  <c r="BJ64" i="7"/>
  <c r="BI64" i="7"/>
  <c r="BH64" i="7"/>
  <c r="BE64" i="7"/>
  <c r="BD64" i="7"/>
  <c r="BC64" i="7"/>
  <c r="BB64" i="7"/>
  <c r="BA64" i="7"/>
  <c r="AZ64" i="7"/>
  <c r="AY64" i="7"/>
  <c r="AX64" i="7"/>
  <c r="AW64" i="7"/>
  <c r="AV64" i="7"/>
  <c r="AU64" i="7"/>
  <c r="AQ64" i="7"/>
  <c r="AP64" i="7"/>
  <c r="AG64" i="7"/>
  <c r="AF64" i="7"/>
  <c r="AA64" i="7"/>
  <c r="Z64" i="7"/>
  <c r="Y64" i="7"/>
  <c r="X64" i="7"/>
  <c r="J64" i="7"/>
  <c r="I64" i="7"/>
  <c r="G64" i="7"/>
  <c r="F64" i="7"/>
  <c r="E64" i="7"/>
  <c r="CF63" i="7"/>
  <c r="CE63" i="7"/>
  <c r="CD63" i="7"/>
  <c r="CC63" i="7"/>
  <c r="CB63" i="7"/>
  <c r="CA63" i="7"/>
  <c r="BW63" i="7"/>
  <c r="BV63" i="7"/>
  <c r="BU63" i="7"/>
  <c r="BT63" i="7"/>
  <c r="BS63" i="7"/>
  <c r="BP63" i="7"/>
  <c r="BN63" i="7"/>
  <c r="BL63" i="7"/>
  <c r="BJ63" i="7"/>
  <c r="BI63" i="7"/>
  <c r="BH63" i="7"/>
  <c r="BE63" i="7"/>
  <c r="BD63" i="7"/>
  <c r="BC63" i="7"/>
  <c r="BB63" i="7"/>
  <c r="BA63" i="7"/>
  <c r="AZ63" i="7"/>
  <c r="AY63" i="7"/>
  <c r="AX63" i="7"/>
  <c r="AW63" i="7"/>
  <c r="AV63" i="7"/>
  <c r="AU63" i="7"/>
  <c r="AQ63" i="7"/>
  <c r="AP63" i="7"/>
  <c r="AG63" i="7"/>
  <c r="AF63" i="7"/>
  <c r="AA63" i="7"/>
  <c r="DB63" i="7" s="1"/>
  <c r="Z63" i="7"/>
  <c r="Y63" i="7"/>
  <c r="X63" i="7"/>
  <c r="J63" i="7"/>
  <c r="I63" i="7"/>
  <c r="G63" i="7"/>
  <c r="H63" i="7" s="1"/>
  <c r="F63" i="7"/>
  <c r="E63" i="7"/>
  <c r="CF62" i="7"/>
  <c r="CE62" i="7"/>
  <c r="CD62" i="7"/>
  <c r="CC62" i="7"/>
  <c r="CB62" i="7"/>
  <c r="CA62" i="7"/>
  <c r="BW62" i="7"/>
  <c r="BV62" i="7"/>
  <c r="BU62" i="7"/>
  <c r="BT62" i="7"/>
  <c r="BS62" i="7"/>
  <c r="BP62" i="7"/>
  <c r="BN62" i="7"/>
  <c r="BL62" i="7"/>
  <c r="BJ62" i="7"/>
  <c r="BI62" i="7"/>
  <c r="BH62" i="7"/>
  <c r="BE62" i="7"/>
  <c r="BD62" i="7"/>
  <c r="BC62" i="7"/>
  <c r="BB62" i="7"/>
  <c r="BA62" i="7"/>
  <c r="AZ62" i="7"/>
  <c r="AY62" i="7"/>
  <c r="AX62" i="7"/>
  <c r="AW62" i="7"/>
  <c r="AV62" i="7"/>
  <c r="AU62" i="7"/>
  <c r="AQ62" i="7"/>
  <c r="AP62" i="7"/>
  <c r="AG62" i="7"/>
  <c r="AF62" i="7"/>
  <c r="AA62" i="7"/>
  <c r="Z62" i="7"/>
  <c r="Y62" i="7"/>
  <c r="X62" i="7"/>
  <c r="J62" i="7"/>
  <c r="I62" i="7"/>
  <c r="G62" i="7"/>
  <c r="F62" i="7"/>
  <c r="E62" i="7"/>
  <c r="CF61" i="7"/>
  <c r="CE61" i="7"/>
  <c r="CD61" i="7"/>
  <c r="CC61" i="7"/>
  <c r="CB61" i="7"/>
  <c r="CA61" i="7"/>
  <c r="BW61" i="7"/>
  <c r="BV61" i="7"/>
  <c r="BU61" i="7"/>
  <c r="BT61" i="7"/>
  <c r="BS61" i="7"/>
  <c r="BP61" i="7"/>
  <c r="BN61" i="7"/>
  <c r="BL61" i="7"/>
  <c r="BJ61" i="7"/>
  <c r="BI61" i="7"/>
  <c r="BH61" i="7"/>
  <c r="BE61" i="7"/>
  <c r="BD61" i="7"/>
  <c r="BC61" i="7"/>
  <c r="BB61" i="7"/>
  <c r="BA61" i="7"/>
  <c r="AZ61" i="7"/>
  <c r="AY61" i="7"/>
  <c r="AX61" i="7"/>
  <c r="AW61" i="7"/>
  <c r="AV61" i="7"/>
  <c r="AU61" i="7"/>
  <c r="AQ61" i="7"/>
  <c r="AP61" i="7"/>
  <c r="AG61" i="7"/>
  <c r="AF61" i="7"/>
  <c r="AA61" i="7"/>
  <c r="Z61" i="7"/>
  <c r="Y61" i="7"/>
  <c r="X61" i="7"/>
  <c r="J61" i="7"/>
  <c r="I61" i="7"/>
  <c r="G61" i="7"/>
  <c r="F61" i="7"/>
  <c r="E61" i="7"/>
  <c r="CF60" i="7"/>
  <c r="CE60" i="7"/>
  <c r="CD60" i="7"/>
  <c r="CC60" i="7"/>
  <c r="CB60" i="7"/>
  <c r="CA60" i="7"/>
  <c r="BW60" i="7"/>
  <c r="BV60" i="7"/>
  <c r="BU60" i="7"/>
  <c r="BT60" i="7"/>
  <c r="BS60" i="7"/>
  <c r="BP60" i="7"/>
  <c r="BN60" i="7"/>
  <c r="BL60" i="7"/>
  <c r="BJ60" i="7"/>
  <c r="BI60" i="7"/>
  <c r="BH60" i="7"/>
  <c r="BE60" i="7"/>
  <c r="BD60" i="7"/>
  <c r="BC60" i="7"/>
  <c r="BB60" i="7"/>
  <c r="BA60" i="7"/>
  <c r="AZ60" i="7"/>
  <c r="AY60" i="7"/>
  <c r="AX60" i="7"/>
  <c r="AW60" i="7"/>
  <c r="AV60" i="7"/>
  <c r="AU60" i="7"/>
  <c r="AQ60" i="7"/>
  <c r="AP60" i="7"/>
  <c r="AG60" i="7"/>
  <c r="AF60" i="7"/>
  <c r="AA60" i="7"/>
  <c r="Z60" i="7"/>
  <c r="Y60" i="7"/>
  <c r="X60" i="7"/>
  <c r="J60" i="7"/>
  <c r="I60" i="7"/>
  <c r="G60" i="7"/>
  <c r="F60" i="7"/>
  <c r="E60" i="7"/>
  <c r="CF59" i="7"/>
  <c r="CE59" i="7"/>
  <c r="CD59" i="7"/>
  <c r="CC59" i="7"/>
  <c r="CB59" i="7"/>
  <c r="CA59" i="7"/>
  <c r="BW59" i="7"/>
  <c r="BV59" i="7"/>
  <c r="BU59" i="7"/>
  <c r="BT59" i="7"/>
  <c r="BS59" i="7"/>
  <c r="BP59" i="7"/>
  <c r="BN59" i="7"/>
  <c r="BL59" i="7"/>
  <c r="BJ59" i="7"/>
  <c r="BI59" i="7"/>
  <c r="BH59" i="7"/>
  <c r="BE59" i="7"/>
  <c r="BD59" i="7"/>
  <c r="BC59" i="7"/>
  <c r="BB59" i="7"/>
  <c r="BA59" i="7"/>
  <c r="AZ59" i="7"/>
  <c r="AY59" i="7"/>
  <c r="AX59" i="7"/>
  <c r="AW59" i="7"/>
  <c r="AV59" i="7"/>
  <c r="AU59" i="7"/>
  <c r="AQ59" i="7"/>
  <c r="AP59" i="7"/>
  <c r="AG59" i="7"/>
  <c r="AF59" i="7"/>
  <c r="AA59" i="7"/>
  <c r="DB59" i="7" s="1"/>
  <c r="Z59" i="7"/>
  <c r="Y59" i="7"/>
  <c r="X59" i="7"/>
  <c r="J59" i="7"/>
  <c r="I59" i="7"/>
  <c r="G59" i="7"/>
  <c r="H59" i="7" s="1"/>
  <c r="F59" i="7"/>
  <c r="E59" i="7"/>
  <c r="CF58" i="7"/>
  <c r="CE58" i="7"/>
  <c r="CD58" i="7"/>
  <c r="CC58" i="7"/>
  <c r="DC58" i="7" s="1"/>
  <c r="CB58" i="7"/>
  <c r="CA58" i="7"/>
  <c r="BW58" i="7"/>
  <c r="BV58" i="7"/>
  <c r="BU58" i="7"/>
  <c r="BT58" i="7"/>
  <c r="BS58" i="7"/>
  <c r="BP58" i="7"/>
  <c r="BN58" i="7"/>
  <c r="BL58" i="7"/>
  <c r="BJ58" i="7"/>
  <c r="BI58" i="7"/>
  <c r="BH58" i="7"/>
  <c r="BE58" i="7"/>
  <c r="BD58" i="7"/>
  <c r="BC58" i="7"/>
  <c r="BB58" i="7"/>
  <c r="BA58" i="7"/>
  <c r="AZ58" i="7"/>
  <c r="AY58" i="7"/>
  <c r="AX58" i="7"/>
  <c r="AW58" i="7"/>
  <c r="AV58" i="7"/>
  <c r="AU58" i="7"/>
  <c r="AQ58" i="7"/>
  <c r="AP58" i="7"/>
  <c r="AG58" i="7"/>
  <c r="AF58" i="7"/>
  <c r="AA58" i="7"/>
  <c r="Z58" i="7"/>
  <c r="Y58" i="7"/>
  <c r="X58" i="7"/>
  <c r="J58" i="7"/>
  <c r="I58" i="7"/>
  <c r="G58" i="7"/>
  <c r="F58" i="7"/>
  <c r="E58" i="7"/>
  <c r="CF57" i="7"/>
  <c r="CE57" i="7"/>
  <c r="CD57" i="7"/>
  <c r="CC57" i="7"/>
  <c r="DC57" i="7" s="1"/>
  <c r="CB57" i="7"/>
  <c r="CA57" i="7"/>
  <c r="BW57" i="7"/>
  <c r="BV57" i="7"/>
  <c r="BU57" i="7"/>
  <c r="BT57" i="7"/>
  <c r="BS57" i="7"/>
  <c r="BP57" i="7"/>
  <c r="BN57" i="7"/>
  <c r="BL57" i="7"/>
  <c r="BJ57" i="7"/>
  <c r="BI57" i="7"/>
  <c r="BH57" i="7"/>
  <c r="BE57" i="7"/>
  <c r="BD57" i="7"/>
  <c r="BC57" i="7"/>
  <c r="BB57" i="7"/>
  <c r="BA57" i="7"/>
  <c r="AZ57" i="7"/>
  <c r="AY57" i="7"/>
  <c r="AX57" i="7"/>
  <c r="AW57" i="7"/>
  <c r="AV57" i="7"/>
  <c r="AU57" i="7"/>
  <c r="AQ57" i="7"/>
  <c r="AP57" i="7"/>
  <c r="AG57" i="7"/>
  <c r="AF57" i="7"/>
  <c r="AA57" i="7"/>
  <c r="Z57" i="7"/>
  <c r="Y57" i="7"/>
  <c r="X57" i="7"/>
  <c r="J57" i="7"/>
  <c r="I57" i="7"/>
  <c r="G57" i="7"/>
  <c r="F57" i="7"/>
  <c r="E57" i="7"/>
  <c r="CF56" i="7"/>
  <c r="CE56" i="7"/>
  <c r="CD56" i="7"/>
  <c r="CC56" i="7"/>
  <c r="DC56" i="7" s="1"/>
  <c r="CB56" i="7"/>
  <c r="CA56" i="7"/>
  <c r="BW56" i="7"/>
  <c r="BV56" i="7"/>
  <c r="BU56" i="7"/>
  <c r="BT56" i="7"/>
  <c r="BS56" i="7"/>
  <c r="BP56" i="7"/>
  <c r="BN56" i="7"/>
  <c r="BL56" i="7"/>
  <c r="BJ56" i="7"/>
  <c r="BI56" i="7"/>
  <c r="BH56" i="7"/>
  <c r="BE56" i="7"/>
  <c r="BD56" i="7"/>
  <c r="BC56" i="7"/>
  <c r="BB56" i="7"/>
  <c r="BA56" i="7"/>
  <c r="AZ56" i="7"/>
  <c r="AY56" i="7"/>
  <c r="AX56" i="7"/>
  <c r="AW56" i="7"/>
  <c r="AV56" i="7"/>
  <c r="AU56" i="7"/>
  <c r="AQ56" i="7"/>
  <c r="AP56" i="7"/>
  <c r="AG56" i="7"/>
  <c r="AF56" i="7"/>
  <c r="AA56" i="7"/>
  <c r="Z56" i="7"/>
  <c r="Y56" i="7"/>
  <c r="X56" i="7"/>
  <c r="J56" i="7"/>
  <c r="I56" i="7"/>
  <c r="G56" i="7"/>
  <c r="H56" i="7" s="1"/>
  <c r="F56" i="7"/>
  <c r="E56" i="7"/>
  <c r="CF55" i="7"/>
  <c r="CE55" i="7"/>
  <c r="CD55" i="7"/>
  <c r="CC55" i="7"/>
  <c r="CB55" i="7"/>
  <c r="CA55" i="7"/>
  <c r="BW55" i="7"/>
  <c r="BV55" i="7"/>
  <c r="BU55" i="7"/>
  <c r="BT55" i="7"/>
  <c r="BS55" i="7"/>
  <c r="BP55" i="7"/>
  <c r="BN55" i="7"/>
  <c r="BL55" i="7"/>
  <c r="BJ55" i="7"/>
  <c r="BI55" i="7"/>
  <c r="BH55" i="7"/>
  <c r="BE55" i="7"/>
  <c r="BD55" i="7"/>
  <c r="BC55" i="7"/>
  <c r="BB55" i="7"/>
  <c r="BA55" i="7"/>
  <c r="AZ55" i="7"/>
  <c r="AY55" i="7"/>
  <c r="AX55" i="7"/>
  <c r="AW55" i="7"/>
  <c r="AV55" i="7"/>
  <c r="AU55" i="7"/>
  <c r="AQ55" i="7"/>
  <c r="AP55" i="7"/>
  <c r="AG55" i="7"/>
  <c r="AF55" i="7"/>
  <c r="AA55" i="7"/>
  <c r="DB55" i="7" s="1"/>
  <c r="Z55" i="7"/>
  <c r="Y55" i="7"/>
  <c r="X55" i="7"/>
  <c r="J55" i="7"/>
  <c r="I55" i="7"/>
  <c r="G55" i="7"/>
  <c r="F55" i="7"/>
  <c r="E55" i="7"/>
  <c r="CF54" i="7"/>
  <c r="CE54" i="7"/>
  <c r="CD54" i="7"/>
  <c r="CC54" i="7"/>
  <c r="CB54" i="7"/>
  <c r="CA54" i="7"/>
  <c r="BW54" i="7"/>
  <c r="BV54" i="7"/>
  <c r="BU54" i="7"/>
  <c r="BT54" i="7"/>
  <c r="BS54" i="7"/>
  <c r="BP54" i="7"/>
  <c r="BN54" i="7"/>
  <c r="BL54" i="7"/>
  <c r="BJ54" i="7"/>
  <c r="BI54" i="7"/>
  <c r="BH54" i="7"/>
  <c r="BE54" i="7"/>
  <c r="BD54" i="7"/>
  <c r="BC54" i="7"/>
  <c r="BB54" i="7"/>
  <c r="BA54" i="7"/>
  <c r="AZ54" i="7"/>
  <c r="AY54" i="7"/>
  <c r="AX54" i="7"/>
  <c r="AW54" i="7"/>
  <c r="AV54" i="7"/>
  <c r="AU54" i="7"/>
  <c r="AQ54" i="7"/>
  <c r="AP54" i="7"/>
  <c r="AG54" i="7"/>
  <c r="AF54" i="7"/>
  <c r="AA54" i="7"/>
  <c r="Z54" i="7"/>
  <c r="Y54" i="7"/>
  <c r="X54" i="7"/>
  <c r="J54" i="7"/>
  <c r="I54" i="7"/>
  <c r="G54" i="7"/>
  <c r="F54" i="7"/>
  <c r="E54" i="7"/>
  <c r="CF53" i="7"/>
  <c r="CE53" i="7"/>
  <c r="CD53" i="7"/>
  <c r="CC53" i="7"/>
  <c r="CB53" i="7"/>
  <c r="CA53" i="7"/>
  <c r="BW53" i="7"/>
  <c r="BV53" i="7"/>
  <c r="BU53" i="7"/>
  <c r="BT53" i="7"/>
  <c r="BS53" i="7"/>
  <c r="BP53" i="7"/>
  <c r="BN53" i="7"/>
  <c r="BL53" i="7"/>
  <c r="BJ53" i="7"/>
  <c r="BI53" i="7"/>
  <c r="BH53" i="7"/>
  <c r="BE53" i="7"/>
  <c r="BD53" i="7"/>
  <c r="BC53" i="7"/>
  <c r="BB53" i="7"/>
  <c r="BA53" i="7"/>
  <c r="AZ53" i="7"/>
  <c r="AY53" i="7"/>
  <c r="AX53" i="7"/>
  <c r="AW53" i="7"/>
  <c r="AV53" i="7"/>
  <c r="AU53" i="7"/>
  <c r="AQ53" i="7"/>
  <c r="AP53" i="7"/>
  <c r="AG53" i="7"/>
  <c r="AF53" i="7"/>
  <c r="DB53" i="7" s="1"/>
  <c r="AA53" i="7"/>
  <c r="Z53" i="7"/>
  <c r="Y53" i="7"/>
  <c r="X53" i="7"/>
  <c r="J53" i="7"/>
  <c r="I53" i="7"/>
  <c r="G53" i="7"/>
  <c r="F53" i="7"/>
  <c r="E53" i="7"/>
  <c r="CF52" i="7"/>
  <c r="CE52" i="7"/>
  <c r="CD52" i="7"/>
  <c r="DC52" i="7" s="1"/>
  <c r="CC52" i="7"/>
  <c r="CB52" i="7"/>
  <c r="CA52" i="7"/>
  <c r="BW52" i="7"/>
  <c r="BV52" i="7"/>
  <c r="BU52" i="7"/>
  <c r="BT52" i="7"/>
  <c r="BS52" i="7"/>
  <c r="BP52" i="7"/>
  <c r="BN52" i="7"/>
  <c r="BL52" i="7"/>
  <c r="BJ52" i="7"/>
  <c r="BI52" i="7"/>
  <c r="BH52" i="7"/>
  <c r="BE52" i="7"/>
  <c r="BD52" i="7"/>
  <c r="BC52" i="7"/>
  <c r="BB52" i="7"/>
  <c r="BA52" i="7"/>
  <c r="AZ52" i="7"/>
  <c r="AY52" i="7"/>
  <c r="AX52" i="7"/>
  <c r="AW52" i="7"/>
  <c r="AV52" i="7"/>
  <c r="AU52" i="7"/>
  <c r="AQ52" i="7"/>
  <c r="AP52" i="7"/>
  <c r="AG52" i="7"/>
  <c r="AF52" i="7"/>
  <c r="AA52" i="7"/>
  <c r="Z52" i="7"/>
  <c r="Y52" i="7"/>
  <c r="X52" i="7"/>
  <c r="J52" i="7"/>
  <c r="I52" i="7"/>
  <c r="G52" i="7"/>
  <c r="F52" i="7"/>
  <c r="E52" i="7"/>
  <c r="CF51" i="7"/>
  <c r="CE51" i="7"/>
  <c r="CD51" i="7"/>
  <c r="CC51" i="7"/>
  <c r="DC51" i="7" s="1"/>
  <c r="CB51" i="7"/>
  <c r="CA51" i="7"/>
  <c r="BW51" i="7"/>
  <c r="BV51" i="7"/>
  <c r="BU51" i="7"/>
  <c r="BT51" i="7"/>
  <c r="BS51" i="7"/>
  <c r="BP51" i="7"/>
  <c r="BN51" i="7"/>
  <c r="BL51" i="7"/>
  <c r="BJ51" i="7"/>
  <c r="BI51" i="7"/>
  <c r="BH51" i="7"/>
  <c r="BE51" i="7"/>
  <c r="BD51" i="7"/>
  <c r="BC51" i="7"/>
  <c r="BB51" i="7"/>
  <c r="BA51" i="7"/>
  <c r="AZ51" i="7"/>
  <c r="AY51" i="7"/>
  <c r="AX51" i="7"/>
  <c r="AW51" i="7"/>
  <c r="AV51" i="7"/>
  <c r="AU51" i="7"/>
  <c r="AQ51" i="7"/>
  <c r="AP51" i="7"/>
  <c r="AG51" i="7"/>
  <c r="AF51" i="7"/>
  <c r="AA51" i="7"/>
  <c r="DB51" i="7" s="1"/>
  <c r="Z51" i="7"/>
  <c r="Y51" i="7"/>
  <c r="X51" i="7"/>
  <c r="J51" i="7"/>
  <c r="I51" i="7"/>
  <c r="G51" i="7"/>
  <c r="F51" i="7"/>
  <c r="E51" i="7"/>
  <c r="CF50" i="7"/>
  <c r="CE50" i="7"/>
  <c r="CD50" i="7"/>
  <c r="CC50" i="7"/>
  <c r="CB50" i="7"/>
  <c r="CA50" i="7"/>
  <c r="BW50" i="7"/>
  <c r="BV50" i="7"/>
  <c r="BU50" i="7"/>
  <c r="BT50" i="7"/>
  <c r="BS50" i="7"/>
  <c r="BP50" i="7"/>
  <c r="BN50" i="7"/>
  <c r="BL50" i="7"/>
  <c r="BJ50" i="7"/>
  <c r="BI50" i="7"/>
  <c r="BH50" i="7"/>
  <c r="BE50" i="7"/>
  <c r="BD50" i="7"/>
  <c r="BC50" i="7"/>
  <c r="BB50" i="7"/>
  <c r="BA50" i="7"/>
  <c r="AZ50" i="7"/>
  <c r="AY50" i="7"/>
  <c r="AX50" i="7"/>
  <c r="AW50" i="7"/>
  <c r="AV50" i="7"/>
  <c r="AU50" i="7"/>
  <c r="AQ50" i="7"/>
  <c r="AP50" i="7"/>
  <c r="AG50" i="7"/>
  <c r="AF50" i="7"/>
  <c r="AA50" i="7"/>
  <c r="Z50" i="7"/>
  <c r="Y50" i="7"/>
  <c r="X50" i="7"/>
  <c r="J50" i="7"/>
  <c r="I50" i="7"/>
  <c r="G50" i="7"/>
  <c r="F50" i="7"/>
  <c r="E50" i="7"/>
  <c r="CF49" i="7"/>
  <c r="CE49" i="7"/>
  <c r="CD49" i="7"/>
  <c r="CC49" i="7"/>
  <c r="CB49" i="7"/>
  <c r="CA49" i="7"/>
  <c r="BW49" i="7"/>
  <c r="BV49" i="7"/>
  <c r="BU49" i="7"/>
  <c r="BT49" i="7"/>
  <c r="BS49" i="7"/>
  <c r="BP49" i="7"/>
  <c r="BN49" i="7"/>
  <c r="BL49" i="7"/>
  <c r="BJ49" i="7"/>
  <c r="BI49" i="7"/>
  <c r="BH49" i="7"/>
  <c r="BE49" i="7"/>
  <c r="BD49" i="7"/>
  <c r="BC49" i="7"/>
  <c r="BB49" i="7"/>
  <c r="BA49" i="7"/>
  <c r="AZ49" i="7"/>
  <c r="AY49" i="7"/>
  <c r="AX49" i="7"/>
  <c r="AW49" i="7"/>
  <c r="AV49" i="7"/>
  <c r="AU49" i="7"/>
  <c r="AQ49" i="7"/>
  <c r="AP49" i="7"/>
  <c r="AG49" i="7"/>
  <c r="AF49" i="7"/>
  <c r="AA49" i="7"/>
  <c r="DB49" i="7" s="1"/>
  <c r="Z49" i="7"/>
  <c r="Y49" i="7"/>
  <c r="X49" i="7"/>
  <c r="J49" i="7"/>
  <c r="I49" i="7"/>
  <c r="G49" i="7"/>
  <c r="H49" i="7" s="1"/>
  <c r="F49" i="7"/>
  <c r="E49" i="7"/>
  <c r="CF48" i="7"/>
  <c r="CE48" i="7"/>
  <c r="CD48" i="7"/>
  <c r="DC48" i="7" s="1"/>
  <c r="CC48" i="7"/>
  <c r="CB48" i="7"/>
  <c r="CA48" i="7"/>
  <c r="BW48" i="7"/>
  <c r="BV48" i="7"/>
  <c r="BU48" i="7"/>
  <c r="BT48" i="7"/>
  <c r="BS48" i="7"/>
  <c r="BP48" i="7"/>
  <c r="BN48" i="7"/>
  <c r="BL48" i="7"/>
  <c r="BJ48" i="7"/>
  <c r="BI48" i="7"/>
  <c r="BH48" i="7"/>
  <c r="BE48" i="7"/>
  <c r="BD48" i="7"/>
  <c r="BC48" i="7"/>
  <c r="BB48" i="7"/>
  <c r="BA48" i="7"/>
  <c r="AZ48" i="7"/>
  <c r="AY48" i="7"/>
  <c r="AX48" i="7"/>
  <c r="AW48" i="7"/>
  <c r="AV48" i="7"/>
  <c r="AU48" i="7"/>
  <c r="AQ48" i="7"/>
  <c r="AP48" i="7"/>
  <c r="AG48" i="7"/>
  <c r="AF48" i="7"/>
  <c r="AA48" i="7"/>
  <c r="Z48" i="7"/>
  <c r="Y48" i="7"/>
  <c r="X48" i="7"/>
  <c r="J48" i="7"/>
  <c r="I48" i="7"/>
  <c r="G48" i="7"/>
  <c r="F48" i="7"/>
  <c r="E48" i="7"/>
  <c r="CF47" i="7"/>
  <c r="CE47" i="7"/>
  <c r="CD47" i="7"/>
  <c r="CC47" i="7"/>
  <c r="CB47" i="7"/>
  <c r="CA47" i="7"/>
  <c r="BW47" i="7"/>
  <c r="BV47" i="7"/>
  <c r="BU47" i="7"/>
  <c r="BT47" i="7"/>
  <c r="BS47" i="7"/>
  <c r="BP47" i="7"/>
  <c r="BN47" i="7"/>
  <c r="BL47" i="7"/>
  <c r="BJ47" i="7"/>
  <c r="BI47" i="7"/>
  <c r="BH47" i="7"/>
  <c r="BE47" i="7"/>
  <c r="BD47" i="7"/>
  <c r="BC47" i="7"/>
  <c r="BB47" i="7"/>
  <c r="BA47" i="7"/>
  <c r="AZ47" i="7"/>
  <c r="AY47" i="7"/>
  <c r="AX47" i="7"/>
  <c r="AW47" i="7"/>
  <c r="AV47" i="7"/>
  <c r="AU47" i="7"/>
  <c r="AQ47" i="7"/>
  <c r="AP47" i="7"/>
  <c r="AG47" i="7"/>
  <c r="AF47" i="7"/>
  <c r="AA47" i="7"/>
  <c r="DB47" i="7" s="1"/>
  <c r="Z47" i="7"/>
  <c r="Y47" i="7"/>
  <c r="X47" i="7"/>
  <c r="J47" i="7"/>
  <c r="I47" i="7"/>
  <c r="G47" i="7"/>
  <c r="F47" i="7"/>
  <c r="E47" i="7"/>
  <c r="CF46" i="7"/>
  <c r="CE46" i="7"/>
  <c r="CD46" i="7"/>
  <c r="CC46" i="7"/>
  <c r="CB46" i="7"/>
  <c r="CA46" i="7"/>
  <c r="BW46" i="7"/>
  <c r="BV46" i="7"/>
  <c r="BU46" i="7"/>
  <c r="BT46" i="7"/>
  <c r="BS46" i="7"/>
  <c r="BP46" i="7"/>
  <c r="BN46" i="7"/>
  <c r="BL46" i="7"/>
  <c r="BJ46" i="7"/>
  <c r="BI46" i="7"/>
  <c r="BH46" i="7"/>
  <c r="BE46" i="7"/>
  <c r="BD46" i="7"/>
  <c r="BC46" i="7"/>
  <c r="BB46" i="7"/>
  <c r="BA46" i="7"/>
  <c r="AZ46" i="7"/>
  <c r="AY46" i="7"/>
  <c r="AX46" i="7"/>
  <c r="AW46" i="7"/>
  <c r="AV46" i="7"/>
  <c r="AU46" i="7"/>
  <c r="AQ46" i="7"/>
  <c r="AP46" i="7"/>
  <c r="AG46" i="7"/>
  <c r="AF46" i="7"/>
  <c r="DB46" i="7" s="1"/>
  <c r="AA46" i="7"/>
  <c r="Z46" i="7"/>
  <c r="Y46" i="7"/>
  <c r="X46" i="7"/>
  <c r="J46" i="7"/>
  <c r="I46" i="7"/>
  <c r="G46" i="7"/>
  <c r="F46" i="7"/>
  <c r="E46" i="7"/>
  <c r="CF45" i="7"/>
  <c r="CE45" i="7"/>
  <c r="CD45" i="7"/>
  <c r="CC45" i="7"/>
  <c r="DC45" i="7" s="1"/>
  <c r="CB45" i="7"/>
  <c r="CA45" i="7"/>
  <c r="BW45" i="7"/>
  <c r="BV45" i="7"/>
  <c r="BU45" i="7"/>
  <c r="BT45" i="7"/>
  <c r="BS45" i="7"/>
  <c r="BP45" i="7"/>
  <c r="BN45" i="7"/>
  <c r="BL45" i="7"/>
  <c r="BJ45" i="7"/>
  <c r="BI45" i="7"/>
  <c r="BH45" i="7"/>
  <c r="BE45" i="7"/>
  <c r="BD45" i="7"/>
  <c r="BC45" i="7"/>
  <c r="BB45" i="7"/>
  <c r="BA45" i="7"/>
  <c r="AZ45" i="7"/>
  <c r="AY45" i="7"/>
  <c r="AX45" i="7"/>
  <c r="AW45" i="7"/>
  <c r="AV45" i="7"/>
  <c r="AU45" i="7"/>
  <c r="AQ45" i="7"/>
  <c r="AP45" i="7"/>
  <c r="AG45" i="7"/>
  <c r="AF45" i="7"/>
  <c r="DB45" i="7" s="1"/>
  <c r="AA45" i="7"/>
  <c r="Z45" i="7"/>
  <c r="Y45" i="7"/>
  <c r="X45" i="7"/>
  <c r="J45" i="7"/>
  <c r="I45" i="7"/>
  <c r="G45" i="7"/>
  <c r="F45" i="7"/>
  <c r="E45" i="7"/>
  <c r="CF44" i="7"/>
  <c r="CE44" i="7"/>
  <c r="CD44" i="7"/>
  <c r="CC44" i="7"/>
  <c r="CB44" i="7"/>
  <c r="CA44" i="7"/>
  <c r="BW44" i="7"/>
  <c r="BV44" i="7"/>
  <c r="BU44" i="7"/>
  <c r="BT44" i="7"/>
  <c r="BS44" i="7"/>
  <c r="BP44" i="7"/>
  <c r="BN44" i="7"/>
  <c r="BL44" i="7"/>
  <c r="BJ44" i="7"/>
  <c r="BI44" i="7"/>
  <c r="BH44" i="7"/>
  <c r="BE44" i="7"/>
  <c r="BD44" i="7"/>
  <c r="BC44" i="7"/>
  <c r="BB44" i="7"/>
  <c r="BA44" i="7"/>
  <c r="AZ44" i="7"/>
  <c r="AY44" i="7"/>
  <c r="AX44" i="7"/>
  <c r="AW44" i="7"/>
  <c r="AV44" i="7"/>
  <c r="AU44" i="7"/>
  <c r="AQ44" i="7"/>
  <c r="AP44" i="7"/>
  <c r="AG44" i="7"/>
  <c r="AF44" i="7"/>
  <c r="AA44" i="7"/>
  <c r="DB44" i="7" s="1"/>
  <c r="Z44" i="7"/>
  <c r="Y44" i="7"/>
  <c r="X44" i="7"/>
  <c r="J44" i="7"/>
  <c r="I44" i="7"/>
  <c r="G44" i="7"/>
  <c r="F44" i="7"/>
  <c r="E44" i="7"/>
  <c r="CF43" i="7"/>
  <c r="CE43" i="7"/>
  <c r="CD43" i="7"/>
  <c r="CC43" i="7"/>
  <c r="CB43" i="7"/>
  <c r="CA43" i="7"/>
  <c r="BW43" i="7"/>
  <c r="BV43" i="7"/>
  <c r="BU43" i="7"/>
  <c r="BT43" i="7"/>
  <c r="BS43" i="7"/>
  <c r="BP43" i="7"/>
  <c r="BN43" i="7"/>
  <c r="BL43" i="7"/>
  <c r="BJ43" i="7"/>
  <c r="BI43" i="7"/>
  <c r="BH43" i="7"/>
  <c r="BE43" i="7"/>
  <c r="BD43" i="7"/>
  <c r="BC43" i="7"/>
  <c r="BB43" i="7"/>
  <c r="BA43" i="7"/>
  <c r="AZ43" i="7"/>
  <c r="AY43" i="7"/>
  <c r="AX43" i="7"/>
  <c r="AW43" i="7"/>
  <c r="AV43" i="7"/>
  <c r="AU43" i="7"/>
  <c r="AQ43" i="7"/>
  <c r="AP43" i="7"/>
  <c r="AG43" i="7"/>
  <c r="AF43" i="7"/>
  <c r="AA43" i="7"/>
  <c r="DB43" i="7" s="1"/>
  <c r="Z43" i="7"/>
  <c r="Y43" i="7"/>
  <c r="X43" i="7"/>
  <c r="J43" i="7"/>
  <c r="I43" i="7"/>
  <c r="G43" i="7"/>
  <c r="H43" i="7" s="1"/>
  <c r="F43" i="7"/>
  <c r="E43" i="7"/>
  <c r="CF42" i="7"/>
  <c r="CE42" i="7"/>
  <c r="CD42" i="7"/>
  <c r="CC42" i="7"/>
  <c r="DC42" i="7" s="1"/>
  <c r="CB42" i="7"/>
  <c r="CA42" i="7"/>
  <c r="BW42" i="7"/>
  <c r="BV42" i="7"/>
  <c r="BU42" i="7"/>
  <c r="BT42" i="7"/>
  <c r="BS42" i="7"/>
  <c r="BP42" i="7"/>
  <c r="BN42" i="7"/>
  <c r="BL42" i="7"/>
  <c r="BJ42" i="7"/>
  <c r="BI42" i="7"/>
  <c r="BH42" i="7"/>
  <c r="BE42" i="7"/>
  <c r="BD42" i="7"/>
  <c r="BC42" i="7"/>
  <c r="BB42" i="7"/>
  <c r="BA42" i="7"/>
  <c r="AZ42" i="7"/>
  <c r="AY42" i="7"/>
  <c r="AX42" i="7"/>
  <c r="AW42" i="7"/>
  <c r="AV42" i="7"/>
  <c r="AU42" i="7"/>
  <c r="AQ42" i="7"/>
  <c r="AP42" i="7"/>
  <c r="AG42" i="7"/>
  <c r="AF42" i="7"/>
  <c r="AA42" i="7"/>
  <c r="Z42" i="7"/>
  <c r="Y42" i="7"/>
  <c r="X42" i="7"/>
  <c r="J42" i="7"/>
  <c r="I42" i="7"/>
  <c r="G42" i="7"/>
  <c r="F42" i="7"/>
  <c r="E42" i="7"/>
  <c r="CF41" i="7"/>
  <c r="CE41" i="7"/>
  <c r="CD41" i="7"/>
  <c r="CC41" i="7"/>
  <c r="CB41" i="7"/>
  <c r="CA41" i="7"/>
  <c r="BW41" i="7"/>
  <c r="BV41" i="7"/>
  <c r="BU41" i="7"/>
  <c r="BT41" i="7"/>
  <c r="BS41" i="7"/>
  <c r="BP41" i="7"/>
  <c r="BN41" i="7"/>
  <c r="BL41" i="7"/>
  <c r="BJ41" i="7"/>
  <c r="BI41" i="7"/>
  <c r="BH41" i="7"/>
  <c r="BE41" i="7"/>
  <c r="BD41" i="7"/>
  <c r="BC41" i="7"/>
  <c r="BB41" i="7"/>
  <c r="BA41" i="7"/>
  <c r="AZ41" i="7"/>
  <c r="AY41" i="7"/>
  <c r="AX41" i="7"/>
  <c r="AW41" i="7"/>
  <c r="AV41" i="7"/>
  <c r="AU41" i="7"/>
  <c r="AQ41" i="7"/>
  <c r="AP41" i="7"/>
  <c r="AG41" i="7"/>
  <c r="AF41" i="7"/>
  <c r="AA41" i="7"/>
  <c r="Z41" i="7"/>
  <c r="Y41" i="7"/>
  <c r="X41" i="7"/>
  <c r="J41" i="7"/>
  <c r="I41" i="7"/>
  <c r="G41" i="7"/>
  <c r="F41" i="7"/>
  <c r="E41" i="7"/>
  <c r="CF40" i="7"/>
  <c r="CE40" i="7"/>
  <c r="CD40" i="7"/>
  <c r="CC40" i="7"/>
  <c r="CB40" i="7"/>
  <c r="CA40" i="7"/>
  <c r="BW40" i="7"/>
  <c r="BV40" i="7"/>
  <c r="BU40" i="7"/>
  <c r="BT40" i="7"/>
  <c r="BS40" i="7"/>
  <c r="BP40" i="7"/>
  <c r="BN40" i="7"/>
  <c r="BL40" i="7"/>
  <c r="BJ40" i="7"/>
  <c r="BI40" i="7"/>
  <c r="BH40" i="7"/>
  <c r="BE40" i="7"/>
  <c r="BD40" i="7"/>
  <c r="BC40" i="7"/>
  <c r="BB40" i="7"/>
  <c r="BA40" i="7"/>
  <c r="AZ40" i="7"/>
  <c r="AY40" i="7"/>
  <c r="AX40" i="7"/>
  <c r="AW40" i="7"/>
  <c r="AV40" i="7"/>
  <c r="AU40" i="7"/>
  <c r="AQ40" i="7"/>
  <c r="AP40" i="7"/>
  <c r="AG40" i="7"/>
  <c r="AF40" i="7"/>
  <c r="AA40" i="7"/>
  <c r="Z40" i="7"/>
  <c r="Y40" i="7"/>
  <c r="X40" i="7"/>
  <c r="J40" i="7"/>
  <c r="I40" i="7"/>
  <c r="G40" i="7"/>
  <c r="F40" i="7"/>
  <c r="E40" i="7"/>
  <c r="CF39" i="7"/>
  <c r="DC39" i="7" s="1"/>
  <c r="CE39" i="7"/>
  <c r="CD39" i="7"/>
  <c r="CC39" i="7"/>
  <c r="CB39" i="7"/>
  <c r="CA39" i="7"/>
  <c r="BW39" i="7"/>
  <c r="BV39" i="7"/>
  <c r="BU39" i="7"/>
  <c r="BT39" i="7"/>
  <c r="BS39" i="7"/>
  <c r="BP39" i="7"/>
  <c r="BN39" i="7"/>
  <c r="BL39" i="7"/>
  <c r="BJ39" i="7"/>
  <c r="BI39" i="7"/>
  <c r="BH39" i="7"/>
  <c r="BE39" i="7"/>
  <c r="BD39" i="7"/>
  <c r="BC39" i="7"/>
  <c r="BB39" i="7"/>
  <c r="BA39" i="7"/>
  <c r="AZ39" i="7"/>
  <c r="AY39" i="7"/>
  <c r="AX39" i="7"/>
  <c r="AW39" i="7"/>
  <c r="AV39" i="7"/>
  <c r="AU39" i="7"/>
  <c r="AQ39" i="7"/>
  <c r="AP39" i="7"/>
  <c r="AG39" i="7"/>
  <c r="AF39" i="7"/>
  <c r="AA39" i="7"/>
  <c r="DB39" i="7" s="1"/>
  <c r="Z39" i="7"/>
  <c r="Y39" i="7"/>
  <c r="X39" i="7"/>
  <c r="J39" i="7"/>
  <c r="I39" i="7"/>
  <c r="G39" i="7"/>
  <c r="F39" i="7"/>
  <c r="E39" i="7"/>
  <c r="CF38" i="7"/>
  <c r="CE38" i="7"/>
  <c r="CD38" i="7"/>
  <c r="CC38" i="7"/>
  <c r="DC38" i="7" s="1"/>
  <c r="CB38" i="7"/>
  <c r="CA38" i="7"/>
  <c r="BW38" i="7"/>
  <c r="BV38" i="7"/>
  <c r="BU38" i="7"/>
  <c r="BT38" i="7"/>
  <c r="BS38" i="7"/>
  <c r="BP38" i="7"/>
  <c r="BN38" i="7"/>
  <c r="BL38" i="7"/>
  <c r="BJ38" i="7"/>
  <c r="BI38" i="7"/>
  <c r="BH38" i="7"/>
  <c r="BE38" i="7"/>
  <c r="BD38" i="7"/>
  <c r="BC38" i="7"/>
  <c r="BB38" i="7"/>
  <c r="BA38" i="7"/>
  <c r="AZ38" i="7"/>
  <c r="AY38" i="7"/>
  <c r="AX38" i="7"/>
  <c r="AW38" i="7"/>
  <c r="AV38" i="7"/>
  <c r="AU38" i="7"/>
  <c r="AQ38" i="7"/>
  <c r="AP38" i="7"/>
  <c r="AG38" i="7"/>
  <c r="AF38" i="7"/>
  <c r="DB38" i="7" s="1"/>
  <c r="AA38" i="7"/>
  <c r="Z38" i="7"/>
  <c r="Y38" i="7"/>
  <c r="X38" i="7"/>
  <c r="J38" i="7"/>
  <c r="I38" i="7"/>
  <c r="G38" i="7"/>
  <c r="F38" i="7"/>
  <c r="E38" i="7"/>
  <c r="CF37" i="7"/>
  <c r="CE37" i="7"/>
  <c r="CD37" i="7"/>
  <c r="CC37" i="7"/>
  <c r="DC37" i="7" s="1"/>
  <c r="CB37" i="7"/>
  <c r="CA37" i="7"/>
  <c r="BW37" i="7"/>
  <c r="BV37" i="7"/>
  <c r="BU37" i="7"/>
  <c r="BT37" i="7"/>
  <c r="BS37" i="7"/>
  <c r="BP37" i="7"/>
  <c r="BN37" i="7"/>
  <c r="BL37" i="7"/>
  <c r="BJ37" i="7"/>
  <c r="BI37" i="7"/>
  <c r="BH37" i="7"/>
  <c r="BE37" i="7"/>
  <c r="BD37" i="7"/>
  <c r="BC37" i="7"/>
  <c r="BB37" i="7"/>
  <c r="BA37" i="7"/>
  <c r="AZ37" i="7"/>
  <c r="AY37" i="7"/>
  <c r="AX37" i="7"/>
  <c r="AW37" i="7"/>
  <c r="AV37" i="7"/>
  <c r="AU37" i="7"/>
  <c r="AQ37" i="7"/>
  <c r="AP37" i="7"/>
  <c r="AG37" i="7"/>
  <c r="AF37" i="7"/>
  <c r="AA37" i="7"/>
  <c r="Z37" i="7"/>
  <c r="Y37" i="7"/>
  <c r="X37" i="7"/>
  <c r="J37" i="7"/>
  <c r="I37" i="7"/>
  <c r="G37" i="7"/>
  <c r="H37" i="7" s="1"/>
  <c r="F37" i="7"/>
  <c r="E37" i="7"/>
  <c r="CF36" i="7"/>
  <c r="CE36" i="7"/>
  <c r="CD36" i="7"/>
  <c r="CC36" i="7"/>
  <c r="CB36" i="7"/>
  <c r="CA36" i="7"/>
  <c r="BW36" i="7"/>
  <c r="BV36" i="7"/>
  <c r="BU36" i="7"/>
  <c r="BT36" i="7"/>
  <c r="BS36" i="7"/>
  <c r="BP36" i="7"/>
  <c r="BN36" i="7"/>
  <c r="BL36" i="7"/>
  <c r="BJ36" i="7"/>
  <c r="BI36" i="7"/>
  <c r="BH36" i="7"/>
  <c r="BE36" i="7"/>
  <c r="BD36" i="7"/>
  <c r="BC36" i="7"/>
  <c r="BB36" i="7"/>
  <c r="BA36" i="7"/>
  <c r="AZ36" i="7"/>
  <c r="AY36" i="7"/>
  <c r="AX36" i="7"/>
  <c r="AW36" i="7"/>
  <c r="AV36" i="7"/>
  <c r="AU36" i="7"/>
  <c r="AQ36" i="7"/>
  <c r="AP36" i="7"/>
  <c r="AG36" i="7"/>
  <c r="AF36" i="7"/>
  <c r="AA36" i="7"/>
  <c r="DB36" i="7" s="1"/>
  <c r="Z36" i="7"/>
  <c r="Y36" i="7"/>
  <c r="X36" i="7"/>
  <c r="J36" i="7"/>
  <c r="I36" i="7"/>
  <c r="G36" i="7"/>
  <c r="F36" i="7"/>
  <c r="E36" i="7"/>
  <c r="CF35" i="7"/>
  <c r="CE35" i="7"/>
  <c r="CD35" i="7"/>
  <c r="CC35" i="7"/>
  <c r="CB35" i="7"/>
  <c r="CA35" i="7"/>
  <c r="BW35" i="7"/>
  <c r="BV35" i="7"/>
  <c r="BU35" i="7"/>
  <c r="BT35" i="7"/>
  <c r="BS35" i="7"/>
  <c r="BP35" i="7"/>
  <c r="BN35" i="7"/>
  <c r="BL35" i="7"/>
  <c r="BJ35" i="7"/>
  <c r="BI35" i="7"/>
  <c r="BH35" i="7"/>
  <c r="BE35" i="7"/>
  <c r="BD35" i="7"/>
  <c r="BC35" i="7"/>
  <c r="BB35" i="7"/>
  <c r="BA35" i="7"/>
  <c r="AZ35" i="7"/>
  <c r="AY35" i="7"/>
  <c r="AX35" i="7"/>
  <c r="AW35" i="7"/>
  <c r="AV35" i="7"/>
  <c r="AU35" i="7"/>
  <c r="AQ35" i="7"/>
  <c r="AP35" i="7"/>
  <c r="AG35" i="7"/>
  <c r="AF35" i="7"/>
  <c r="AA35" i="7"/>
  <c r="DB35" i="7" s="1"/>
  <c r="Z35" i="7"/>
  <c r="Y35" i="7"/>
  <c r="X35" i="7"/>
  <c r="J35" i="7"/>
  <c r="I35" i="7"/>
  <c r="G35" i="7"/>
  <c r="F35" i="7"/>
  <c r="E35" i="7"/>
  <c r="CF34" i="7"/>
  <c r="CE34" i="7"/>
  <c r="CD34" i="7"/>
  <c r="CC34" i="7"/>
  <c r="CB34" i="7"/>
  <c r="CA34" i="7"/>
  <c r="BW34" i="7"/>
  <c r="BV34" i="7"/>
  <c r="BU34" i="7"/>
  <c r="BT34" i="7"/>
  <c r="BS34" i="7"/>
  <c r="BP34" i="7"/>
  <c r="BN34" i="7"/>
  <c r="BL34" i="7"/>
  <c r="BJ34" i="7"/>
  <c r="BI34" i="7"/>
  <c r="BH34" i="7"/>
  <c r="BE34" i="7"/>
  <c r="BD34" i="7"/>
  <c r="BC34" i="7"/>
  <c r="BB34" i="7"/>
  <c r="BA34" i="7"/>
  <c r="AZ34" i="7"/>
  <c r="AY34" i="7"/>
  <c r="AX34" i="7"/>
  <c r="AW34" i="7"/>
  <c r="AV34" i="7"/>
  <c r="AU34" i="7"/>
  <c r="AQ34" i="7"/>
  <c r="AP34" i="7"/>
  <c r="AG34" i="7"/>
  <c r="AF34" i="7"/>
  <c r="AA34" i="7"/>
  <c r="Z34" i="7"/>
  <c r="Y34" i="7"/>
  <c r="X34" i="7"/>
  <c r="J34" i="7"/>
  <c r="I34" i="7"/>
  <c r="G34" i="7"/>
  <c r="F34" i="7"/>
  <c r="E34" i="7"/>
  <c r="CF33" i="7"/>
  <c r="CE33" i="7"/>
  <c r="CD33" i="7"/>
  <c r="CC33" i="7"/>
  <c r="CB33" i="7"/>
  <c r="CA33" i="7"/>
  <c r="BW33" i="7"/>
  <c r="BV33" i="7"/>
  <c r="BU33" i="7"/>
  <c r="BT33" i="7"/>
  <c r="BS33" i="7"/>
  <c r="BP33" i="7"/>
  <c r="BN33" i="7"/>
  <c r="BL33" i="7"/>
  <c r="BJ33" i="7"/>
  <c r="BI33" i="7"/>
  <c r="BH33" i="7"/>
  <c r="BE33" i="7"/>
  <c r="BD33" i="7"/>
  <c r="BC33" i="7"/>
  <c r="BB33" i="7"/>
  <c r="BA33" i="7"/>
  <c r="AZ33" i="7"/>
  <c r="AY33" i="7"/>
  <c r="AX33" i="7"/>
  <c r="AW33" i="7"/>
  <c r="AV33" i="7"/>
  <c r="AU33" i="7"/>
  <c r="AQ33" i="7"/>
  <c r="AP33" i="7"/>
  <c r="AG33" i="7"/>
  <c r="AF33" i="7"/>
  <c r="AA33" i="7"/>
  <c r="Z33" i="7"/>
  <c r="Y33" i="7"/>
  <c r="X33" i="7"/>
  <c r="J33" i="7"/>
  <c r="I33" i="7"/>
  <c r="G33" i="7"/>
  <c r="F33" i="7"/>
  <c r="E33" i="7"/>
  <c r="CF32" i="7"/>
  <c r="CE32" i="7"/>
  <c r="CD32" i="7"/>
  <c r="CC32" i="7"/>
  <c r="DC32" i="7" s="1"/>
  <c r="CB32" i="7"/>
  <c r="CA32" i="7"/>
  <c r="BW32" i="7"/>
  <c r="BV32" i="7"/>
  <c r="BU32" i="7"/>
  <c r="BT32" i="7"/>
  <c r="BS32" i="7"/>
  <c r="BP32" i="7"/>
  <c r="BN32" i="7"/>
  <c r="BL32" i="7"/>
  <c r="BJ32" i="7"/>
  <c r="BI32" i="7"/>
  <c r="BH32" i="7"/>
  <c r="BE32" i="7"/>
  <c r="BD32" i="7"/>
  <c r="BC32" i="7"/>
  <c r="BB32" i="7"/>
  <c r="BA32" i="7"/>
  <c r="AZ32" i="7"/>
  <c r="AY32" i="7"/>
  <c r="AX32" i="7"/>
  <c r="AW32" i="7"/>
  <c r="AV32" i="7"/>
  <c r="AU32" i="7"/>
  <c r="AQ32" i="7"/>
  <c r="AP32" i="7"/>
  <c r="AG32" i="7"/>
  <c r="AF32" i="7"/>
  <c r="AA32" i="7"/>
  <c r="Z32" i="7"/>
  <c r="Y32" i="7"/>
  <c r="X32" i="7"/>
  <c r="J32" i="7"/>
  <c r="I32" i="7"/>
  <c r="G32" i="7"/>
  <c r="H32" i="7" s="1"/>
  <c r="F32" i="7"/>
  <c r="E32" i="7"/>
  <c r="CF31" i="7"/>
  <c r="CE31" i="7"/>
  <c r="CD31" i="7"/>
  <c r="CC31" i="7"/>
  <c r="CB31" i="7"/>
  <c r="CA31" i="7"/>
  <c r="BW31" i="7"/>
  <c r="BV31" i="7"/>
  <c r="BU31" i="7"/>
  <c r="BT31" i="7"/>
  <c r="BS31" i="7"/>
  <c r="BP31" i="7"/>
  <c r="BN31" i="7"/>
  <c r="BL31" i="7"/>
  <c r="BJ31" i="7"/>
  <c r="BI31" i="7"/>
  <c r="BH31" i="7"/>
  <c r="BE31" i="7"/>
  <c r="BD31" i="7"/>
  <c r="BC31" i="7"/>
  <c r="BB31" i="7"/>
  <c r="BA31" i="7"/>
  <c r="AZ31" i="7"/>
  <c r="AY31" i="7"/>
  <c r="AX31" i="7"/>
  <c r="AW31" i="7"/>
  <c r="AV31" i="7"/>
  <c r="AU31" i="7"/>
  <c r="AQ31" i="7"/>
  <c r="AP31" i="7"/>
  <c r="AG31" i="7"/>
  <c r="AF31" i="7"/>
  <c r="AA31" i="7"/>
  <c r="DB31" i="7" s="1"/>
  <c r="Z31" i="7"/>
  <c r="Y31" i="7"/>
  <c r="X31" i="7"/>
  <c r="J31" i="7"/>
  <c r="I31" i="7"/>
  <c r="G31" i="7"/>
  <c r="H31" i="7" s="1"/>
  <c r="F31" i="7"/>
  <c r="E31" i="7"/>
  <c r="CF30" i="7"/>
  <c r="CE30" i="7"/>
  <c r="CD30" i="7"/>
  <c r="CC30" i="7"/>
  <c r="DC30" i="7" s="1"/>
  <c r="CB30" i="7"/>
  <c r="CA30" i="7"/>
  <c r="BW30" i="7"/>
  <c r="BV30" i="7"/>
  <c r="BU30" i="7"/>
  <c r="BT30" i="7"/>
  <c r="BS30" i="7"/>
  <c r="BP30" i="7"/>
  <c r="BN30" i="7"/>
  <c r="BL30" i="7"/>
  <c r="BJ30" i="7"/>
  <c r="BI30" i="7"/>
  <c r="BH30" i="7"/>
  <c r="BE30" i="7"/>
  <c r="BD30" i="7"/>
  <c r="BC30" i="7"/>
  <c r="BB30" i="7"/>
  <c r="BA30" i="7"/>
  <c r="AZ30" i="7"/>
  <c r="AY30" i="7"/>
  <c r="AX30" i="7"/>
  <c r="AW30" i="7"/>
  <c r="AV30" i="7"/>
  <c r="AU30" i="7"/>
  <c r="AQ30" i="7"/>
  <c r="AP30" i="7"/>
  <c r="AG30" i="7"/>
  <c r="AF30" i="7"/>
  <c r="DB30" i="7" s="1"/>
  <c r="AA30" i="7"/>
  <c r="Z30" i="7"/>
  <c r="Y30" i="7"/>
  <c r="X30" i="7"/>
  <c r="J30" i="7"/>
  <c r="I30" i="7"/>
  <c r="G30" i="7"/>
  <c r="H30" i="7" s="1"/>
  <c r="F30" i="7"/>
  <c r="E30" i="7"/>
  <c r="CF29" i="7"/>
  <c r="CE29" i="7"/>
  <c r="CD29" i="7"/>
  <c r="CC29" i="7"/>
  <c r="DC29" i="7" s="1"/>
  <c r="CB29" i="7"/>
  <c r="CA29" i="7"/>
  <c r="BW29" i="7"/>
  <c r="BV29" i="7"/>
  <c r="BU29" i="7"/>
  <c r="BT29" i="7"/>
  <c r="BS29" i="7"/>
  <c r="BP29" i="7"/>
  <c r="BN29" i="7"/>
  <c r="BL29" i="7"/>
  <c r="BJ29" i="7"/>
  <c r="BI29" i="7"/>
  <c r="BH29" i="7"/>
  <c r="BE29" i="7"/>
  <c r="BD29" i="7"/>
  <c r="BC29" i="7"/>
  <c r="BB29" i="7"/>
  <c r="BA29" i="7"/>
  <c r="AZ29" i="7"/>
  <c r="AY29" i="7"/>
  <c r="AX29" i="7"/>
  <c r="AW29" i="7"/>
  <c r="AV29" i="7"/>
  <c r="AU29" i="7"/>
  <c r="AQ29" i="7"/>
  <c r="AP29" i="7"/>
  <c r="AG29" i="7"/>
  <c r="AF29" i="7"/>
  <c r="AA29" i="7"/>
  <c r="Z29" i="7"/>
  <c r="Y29" i="7"/>
  <c r="X29" i="7"/>
  <c r="J29" i="7"/>
  <c r="I29" i="7"/>
  <c r="G29" i="7"/>
  <c r="F29" i="7"/>
  <c r="E29" i="7"/>
  <c r="CF28" i="7"/>
  <c r="CE28" i="7"/>
  <c r="CD28" i="7"/>
  <c r="CC28" i="7"/>
  <c r="CB28" i="7"/>
  <c r="CA28" i="7"/>
  <c r="BW28" i="7"/>
  <c r="BV28" i="7"/>
  <c r="BU28" i="7"/>
  <c r="BT28" i="7"/>
  <c r="BS28" i="7"/>
  <c r="BP28" i="7"/>
  <c r="BN28" i="7"/>
  <c r="BL28" i="7"/>
  <c r="BJ28" i="7"/>
  <c r="BI28" i="7"/>
  <c r="BH28" i="7"/>
  <c r="BE28" i="7"/>
  <c r="BD28" i="7"/>
  <c r="BC28" i="7"/>
  <c r="BB28" i="7"/>
  <c r="BA28" i="7"/>
  <c r="AZ28" i="7"/>
  <c r="AY28" i="7"/>
  <c r="AX28" i="7"/>
  <c r="AW28" i="7"/>
  <c r="AV28" i="7"/>
  <c r="AU28" i="7"/>
  <c r="AQ28" i="7"/>
  <c r="AP28" i="7"/>
  <c r="AG28" i="7"/>
  <c r="AF28" i="7"/>
  <c r="AA28" i="7"/>
  <c r="DB28" i="7" s="1"/>
  <c r="Z28" i="7"/>
  <c r="Y28" i="7"/>
  <c r="X28" i="7"/>
  <c r="J28" i="7"/>
  <c r="I28" i="7"/>
  <c r="G28" i="7"/>
  <c r="H28" i="7" s="1"/>
  <c r="F28" i="7"/>
  <c r="E28" i="7"/>
  <c r="CF27" i="7"/>
  <c r="CE27" i="7"/>
  <c r="CD27" i="7"/>
  <c r="CC27" i="7"/>
  <c r="CB27" i="7"/>
  <c r="CA27" i="7"/>
  <c r="BW27" i="7"/>
  <c r="BV27" i="7"/>
  <c r="BU27" i="7"/>
  <c r="BT27" i="7"/>
  <c r="BS27" i="7"/>
  <c r="BP27" i="7"/>
  <c r="BN27" i="7"/>
  <c r="BL27" i="7"/>
  <c r="BJ27" i="7"/>
  <c r="BI27" i="7"/>
  <c r="BH27" i="7"/>
  <c r="BE27" i="7"/>
  <c r="BD27" i="7"/>
  <c r="BC27" i="7"/>
  <c r="BB27" i="7"/>
  <c r="BA27" i="7"/>
  <c r="AZ27" i="7"/>
  <c r="AY27" i="7"/>
  <c r="AX27" i="7"/>
  <c r="AW27" i="7"/>
  <c r="AV27" i="7"/>
  <c r="AU27" i="7"/>
  <c r="AQ27" i="7"/>
  <c r="AP27" i="7"/>
  <c r="AG27" i="7"/>
  <c r="AF27" i="7"/>
  <c r="AA27" i="7"/>
  <c r="DB27" i="7" s="1"/>
  <c r="Z27" i="7"/>
  <c r="Y27" i="7"/>
  <c r="X27" i="7"/>
  <c r="J27" i="7"/>
  <c r="I27" i="7"/>
  <c r="G27" i="7"/>
  <c r="F27" i="7"/>
  <c r="E27" i="7"/>
  <c r="DC26" i="7"/>
  <c r="CF26" i="7"/>
  <c r="CE26" i="7"/>
  <c r="CD26" i="7"/>
  <c r="CC26" i="7"/>
  <c r="CB26" i="7"/>
  <c r="CA26" i="7"/>
  <c r="BW26" i="7"/>
  <c r="BV26" i="7"/>
  <c r="BU26" i="7"/>
  <c r="BT26" i="7"/>
  <c r="BS26" i="7"/>
  <c r="BP26" i="7"/>
  <c r="BN26" i="7"/>
  <c r="BL26" i="7"/>
  <c r="BJ26" i="7"/>
  <c r="BI26" i="7"/>
  <c r="BH26" i="7"/>
  <c r="BE26" i="7"/>
  <c r="BD26" i="7"/>
  <c r="BC26" i="7"/>
  <c r="BB26" i="7"/>
  <c r="BA26" i="7"/>
  <c r="AZ26" i="7"/>
  <c r="AY26" i="7"/>
  <c r="AX26" i="7"/>
  <c r="AW26" i="7"/>
  <c r="AV26" i="7"/>
  <c r="AU26" i="7"/>
  <c r="AQ26" i="7"/>
  <c r="AP26" i="7"/>
  <c r="AG26" i="7"/>
  <c r="AF26" i="7"/>
  <c r="AA26" i="7"/>
  <c r="Z26" i="7"/>
  <c r="Y26" i="7"/>
  <c r="X26" i="7"/>
  <c r="J26" i="7"/>
  <c r="I26" i="7"/>
  <c r="G26" i="7"/>
  <c r="F26" i="7"/>
  <c r="H26" i="7" s="1"/>
  <c r="E26" i="7"/>
  <c r="CF25" i="7"/>
  <c r="CE25" i="7"/>
  <c r="CD25" i="7"/>
  <c r="CC25" i="7"/>
  <c r="DC25" i="7" s="1"/>
  <c r="CB25" i="7"/>
  <c r="CA25" i="7"/>
  <c r="BW25" i="7"/>
  <c r="BV25" i="7"/>
  <c r="BU25" i="7"/>
  <c r="BT25" i="7"/>
  <c r="BS25" i="7"/>
  <c r="BP25" i="7"/>
  <c r="BN25" i="7"/>
  <c r="BL25" i="7"/>
  <c r="BJ25" i="7"/>
  <c r="BI25" i="7"/>
  <c r="BH25" i="7"/>
  <c r="BE25" i="7"/>
  <c r="BD25" i="7"/>
  <c r="BC25" i="7"/>
  <c r="BB25" i="7"/>
  <c r="BA25" i="7"/>
  <c r="AZ25" i="7"/>
  <c r="AY25" i="7"/>
  <c r="AX25" i="7"/>
  <c r="AW25" i="7"/>
  <c r="AV25" i="7"/>
  <c r="AU25" i="7"/>
  <c r="AQ25" i="7"/>
  <c r="AP25" i="7"/>
  <c r="AG25" i="7"/>
  <c r="AF25" i="7"/>
  <c r="AA25" i="7"/>
  <c r="Z25" i="7"/>
  <c r="Y25" i="7"/>
  <c r="X25" i="7"/>
  <c r="J25" i="7"/>
  <c r="I25" i="7"/>
  <c r="G25" i="7"/>
  <c r="H25" i="7" s="1"/>
  <c r="F25" i="7"/>
  <c r="E25" i="7"/>
  <c r="CF24" i="7"/>
  <c r="CE24" i="7"/>
  <c r="CD24" i="7"/>
  <c r="CC24" i="7"/>
  <c r="DC24" i="7" s="1"/>
  <c r="CB24" i="7"/>
  <c r="CA24" i="7"/>
  <c r="BW24" i="7"/>
  <c r="BV24" i="7"/>
  <c r="BU24" i="7"/>
  <c r="BT24" i="7"/>
  <c r="BS24" i="7"/>
  <c r="BP24" i="7"/>
  <c r="BN24" i="7"/>
  <c r="BL24" i="7"/>
  <c r="BJ24" i="7"/>
  <c r="BI24" i="7"/>
  <c r="BH24" i="7"/>
  <c r="BE24" i="7"/>
  <c r="BD24" i="7"/>
  <c r="BC24" i="7"/>
  <c r="BB24" i="7"/>
  <c r="BA24" i="7"/>
  <c r="AZ24" i="7"/>
  <c r="AY24" i="7"/>
  <c r="AX24" i="7"/>
  <c r="AW24" i="7"/>
  <c r="AV24" i="7"/>
  <c r="AU24" i="7"/>
  <c r="AQ24" i="7"/>
  <c r="AP24" i="7"/>
  <c r="AG24" i="7"/>
  <c r="AF24" i="7"/>
  <c r="AA24" i="7"/>
  <c r="Z24" i="7"/>
  <c r="Y24" i="7"/>
  <c r="X24" i="7"/>
  <c r="J24" i="7"/>
  <c r="I24" i="7"/>
  <c r="G24" i="7"/>
  <c r="F24" i="7"/>
  <c r="E24" i="7"/>
  <c r="CF23" i="7"/>
  <c r="CE23" i="7"/>
  <c r="CD23" i="7"/>
  <c r="CC23" i="7"/>
  <c r="DC23" i="7" s="1"/>
  <c r="CB23" i="7"/>
  <c r="CA23" i="7"/>
  <c r="BW23" i="7"/>
  <c r="BV23" i="7"/>
  <c r="BU23" i="7"/>
  <c r="BT23" i="7"/>
  <c r="BS23" i="7"/>
  <c r="BP23" i="7"/>
  <c r="BN23" i="7"/>
  <c r="BL23" i="7"/>
  <c r="BJ23" i="7"/>
  <c r="BI23" i="7"/>
  <c r="BH23" i="7"/>
  <c r="BE23" i="7"/>
  <c r="BD23" i="7"/>
  <c r="BC23" i="7"/>
  <c r="BB23" i="7"/>
  <c r="BA23" i="7"/>
  <c r="AZ23" i="7"/>
  <c r="AY23" i="7"/>
  <c r="AX23" i="7"/>
  <c r="AW23" i="7"/>
  <c r="AV23" i="7"/>
  <c r="AU23" i="7"/>
  <c r="AQ23" i="7"/>
  <c r="AP23" i="7"/>
  <c r="AG23" i="7"/>
  <c r="AF23" i="7"/>
  <c r="AA23" i="7"/>
  <c r="Z23" i="7"/>
  <c r="Y23" i="7"/>
  <c r="X23" i="7"/>
  <c r="J23" i="7"/>
  <c r="I23" i="7"/>
  <c r="G23" i="7"/>
  <c r="F23" i="7"/>
  <c r="E23" i="7"/>
  <c r="CF22" i="7"/>
  <c r="CE22" i="7"/>
  <c r="CD22" i="7"/>
  <c r="CC22" i="7"/>
  <c r="DC22" i="7" s="1"/>
  <c r="CB22" i="7"/>
  <c r="CA22" i="7"/>
  <c r="BW22" i="7"/>
  <c r="BV22" i="7"/>
  <c r="BU22" i="7"/>
  <c r="BT22" i="7"/>
  <c r="BS22" i="7"/>
  <c r="BP22" i="7"/>
  <c r="BN22" i="7"/>
  <c r="BL22" i="7"/>
  <c r="BJ22" i="7"/>
  <c r="BI22" i="7"/>
  <c r="BH22" i="7"/>
  <c r="BE22" i="7"/>
  <c r="BD22" i="7"/>
  <c r="BC22" i="7"/>
  <c r="BB22" i="7"/>
  <c r="BA22" i="7"/>
  <c r="AZ22" i="7"/>
  <c r="AY22" i="7"/>
  <c r="AX22" i="7"/>
  <c r="AW22" i="7"/>
  <c r="AV22" i="7"/>
  <c r="AU22" i="7"/>
  <c r="AQ22" i="7"/>
  <c r="AP22" i="7"/>
  <c r="AG22" i="7"/>
  <c r="AF22" i="7"/>
  <c r="DB22" i="7" s="1"/>
  <c r="AA22" i="7"/>
  <c r="Z22" i="7"/>
  <c r="Y22" i="7"/>
  <c r="X22" i="7"/>
  <c r="J22" i="7"/>
  <c r="I22" i="7"/>
  <c r="G22" i="7"/>
  <c r="F22" i="7"/>
  <c r="E22" i="7"/>
  <c r="CF21" i="7"/>
  <c r="CE21" i="7"/>
  <c r="CD21" i="7"/>
  <c r="CC21" i="7"/>
  <c r="CB21" i="7"/>
  <c r="CA21" i="7"/>
  <c r="BW21" i="7"/>
  <c r="BV21" i="7"/>
  <c r="BU21" i="7"/>
  <c r="BT21" i="7"/>
  <c r="BS21" i="7"/>
  <c r="BP21" i="7"/>
  <c r="BN21" i="7"/>
  <c r="BL21" i="7"/>
  <c r="BJ21" i="7"/>
  <c r="BI21" i="7"/>
  <c r="BH21" i="7"/>
  <c r="BE21" i="7"/>
  <c r="BD21" i="7"/>
  <c r="BC21" i="7"/>
  <c r="BB21" i="7"/>
  <c r="BA21" i="7"/>
  <c r="AZ21" i="7"/>
  <c r="AY21" i="7"/>
  <c r="AX21" i="7"/>
  <c r="AW21" i="7"/>
  <c r="AV21" i="7"/>
  <c r="AU21" i="7"/>
  <c r="AQ21" i="7"/>
  <c r="AP21" i="7"/>
  <c r="AG21" i="7"/>
  <c r="AF21" i="7"/>
  <c r="AA21" i="7"/>
  <c r="Z21" i="7"/>
  <c r="Y21" i="7"/>
  <c r="X21" i="7"/>
  <c r="J21" i="7"/>
  <c r="I21" i="7"/>
  <c r="G21" i="7"/>
  <c r="H21" i="7" s="1"/>
  <c r="F21" i="7"/>
  <c r="E21" i="7"/>
  <c r="CF20" i="7"/>
  <c r="CE20" i="7"/>
  <c r="CD20" i="7"/>
  <c r="CC20" i="7"/>
  <c r="CB20" i="7"/>
  <c r="CA20" i="7"/>
  <c r="BW20" i="7"/>
  <c r="BV20" i="7"/>
  <c r="BU20" i="7"/>
  <c r="BT20" i="7"/>
  <c r="BS20" i="7"/>
  <c r="BP20" i="7"/>
  <c r="BN20" i="7"/>
  <c r="BL20" i="7"/>
  <c r="BJ20" i="7"/>
  <c r="BI20" i="7"/>
  <c r="BH20" i="7"/>
  <c r="BE20" i="7"/>
  <c r="BD20" i="7"/>
  <c r="BC20" i="7"/>
  <c r="BB20" i="7"/>
  <c r="BA20" i="7"/>
  <c r="AZ20" i="7"/>
  <c r="AY20" i="7"/>
  <c r="AX20" i="7"/>
  <c r="AW20" i="7"/>
  <c r="AV20" i="7"/>
  <c r="AU20" i="7"/>
  <c r="AQ20" i="7"/>
  <c r="AP20" i="7"/>
  <c r="AG20" i="7"/>
  <c r="AF20" i="7"/>
  <c r="AA20" i="7"/>
  <c r="DB20" i="7" s="1"/>
  <c r="Z20" i="7"/>
  <c r="Y20" i="7"/>
  <c r="X20" i="7"/>
  <c r="J20" i="7"/>
  <c r="I20" i="7"/>
  <c r="G20" i="7"/>
  <c r="F20" i="7"/>
  <c r="E20" i="7"/>
  <c r="CF19" i="7"/>
  <c r="CE19" i="7"/>
  <c r="CD19" i="7"/>
  <c r="CC19" i="7"/>
  <c r="CB19" i="7"/>
  <c r="CA19" i="7"/>
  <c r="BW19" i="7"/>
  <c r="BV19" i="7"/>
  <c r="BU19" i="7"/>
  <c r="BT19" i="7"/>
  <c r="BS19" i="7"/>
  <c r="BP19" i="7"/>
  <c r="BN19" i="7"/>
  <c r="BL19" i="7"/>
  <c r="BJ19" i="7"/>
  <c r="BI19" i="7"/>
  <c r="BH19" i="7"/>
  <c r="BE19" i="7"/>
  <c r="BD19" i="7"/>
  <c r="BC19" i="7"/>
  <c r="BB19" i="7"/>
  <c r="BA19" i="7"/>
  <c r="AZ19" i="7"/>
  <c r="AY19" i="7"/>
  <c r="AX19" i="7"/>
  <c r="AW19" i="7"/>
  <c r="AV19" i="7"/>
  <c r="AU19" i="7"/>
  <c r="AQ19" i="7"/>
  <c r="AP19" i="7"/>
  <c r="AG19" i="7"/>
  <c r="AF19" i="7"/>
  <c r="AA19" i="7"/>
  <c r="Z19" i="7"/>
  <c r="Y19" i="7"/>
  <c r="X19" i="7"/>
  <c r="J19" i="7"/>
  <c r="I19" i="7"/>
  <c r="G19" i="7"/>
  <c r="F19" i="7"/>
  <c r="E19" i="7"/>
  <c r="CF18" i="7"/>
  <c r="CE18" i="7"/>
  <c r="CD18" i="7"/>
  <c r="CC18" i="7"/>
  <c r="CB18" i="7"/>
  <c r="CA18" i="7"/>
  <c r="BW18" i="7"/>
  <c r="BV18" i="7"/>
  <c r="BU18" i="7"/>
  <c r="BT18" i="7"/>
  <c r="BS18" i="7"/>
  <c r="BP18" i="7"/>
  <c r="BN18" i="7"/>
  <c r="BL18" i="7"/>
  <c r="BJ18" i="7"/>
  <c r="BI18" i="7"/>
  <c r="BH18" i="7"/>
  <c r="BE18" i="7"/>
  <c r="BD18" i="7"/>
  <c r="BC18" i="7"/>
  <c r="BB18" i="7"/>
  <c r="BA18" i="7"/>
  <c r="AZ18" i="7"/>
  <c r="AY18" i="7"/>
  <c r="AX18" i="7"/>
  <c r="AW18" i="7"/>
  <c r="AV18" i="7"/>
  <c r="AU18" i="7"/>
  <c r="AQ18" i="7"/>
  <c r="AP18" i="7"/>
  <c r="AG18" i="7"/>
  <c r="AF18" i="7"/>
  <c r="AA18" i="7"/>
  <c r="Z18" i="7"/>
  <c r="Y18" i="7"/>
  <c r="X18" i="7"/>
  <c r="J18" i="7"/>
  <c r="I18" i="7"/>
  <c r="G18" i="7"/>
  <c r="F18" i="7"/>
  <c r="E18" i="7"/>
  <c r="CF17" i="7"/>
  <c r="CE17" i="7"/>
  <c r="CD17" i="7"/>
  <c r="CC17" i="7"/>
  <c r="DC17" i="7" s="1"/>
  <c r="CB17" i="7"/>
  <c r="CA17" i="7"/>
  <c r="BW17" i="7"/>
  <c r="BV17" i="7"/>
  <c r="BU17" i="7"/>
  <c r="BT17" i="7"/>
  <c r="BS17" i="7"/>
  <c r="BP17" i="7"/>
  <c r="BN17" i="7"/>
  <c r="BL17" i="7"/>
  <c r="BJ17" i="7"/>
  <c r="BI17" i="7"/>
  <c r="BH17" i="7"/>
  <c r="BE17" i="7"/>
  <c r="BD17" i="7"/>
  <c r="BC17" i="7"/>
  <c r="BB17" i="7"/>
  <c r="BA17" i="7"/>
  <c r="AZ17" i="7"/>
  <c r="AY17" i="7"/>
  <c r="AX17" i="7"/>
  <c r="AW17" i="7"/>
  <c r="AV17" i="7"/>
  <c r="AU17" i="7"/>
  <c r="AQ17" i="7"/>
  <c r="AP17" i="7"/>
  <c r="AG17" i="7"/>
  <c r="AF17" i="7"/>
  <c r="AA17" i="7"/>
  <c r="Z17" i="7"/>
  <c r="Y17" i="7"/>
  <c r="X17" i="7"/>
  <c r="J17" i="7"/>
  <c r="I17" i="7"/>
  <c r="G17" i="7"/>
  <c r="F17" i="7"/>
  <c r="E17" i="7"/>
  <c r="CF16" i="7"/>
  <c r="CE16" i="7"/>
  <c r="CD16" i="7"/>
  <c r="CC16" i="7"/>
  <c r="DC16" i="7" s="1"/>
  <c r="CB16" i="7"/>
  <c r="CA16" i="7"/>
  <c r="BW16" i="7"/>
  <c r="BV16" i="7"/>
  <c r="BU16" i="7"/>
  <c r="BT16" i="7"/>
  <c r="BS16" i="7"/>
  <c r="BP16" i="7"/>
  <c r="BN16" i="7"/>
  <c r="BL16" i="7"/>
  <c r="BJ16" i="7"/>
  <c r="BI16" i="7"/>
  <c r="BH16" i="7"/>
  <c r="BE16" i="7"/>
  <c r="BD16" i="7"/>
  <c r="BC16" i="7"/>
  <c r="BB16" i="7"/>
  <c r="BA16" i="7"/>
  <c r="AZ16" i="7"/>
  <c r="AY16" i="7"/>
  <c r="AX16" i="7"/>
  <c r="AW16" i="7"/>
  <c r="AV16" i="7"/>
  <c r="AU16" i="7"/>
  <c r="AQ16" i="7"/>
  <c r="AP16" i="7"/>
  <c r="AG16" i="7"/>
  <c r="AF16" i="7"/>
  <c r="AA16" i="7"/>
  <c r="Z16" i="7"/>
  <c r="Y16" i="7"/>
  <c r="X16" i="7"/>
  <c r="J16" i="7"/>
  <c r="I16" i="7"/>
  <c r="G16" i="7"/>
  <c r="H16" i="7" s="1"/>
  <c r="F16" i="7"/>
  <c r="E16" i="7"/>
  <c r="CF15" i="7"/>
  <c r="CE15" i="7"/>
  <c r="CD15" i="7"/>
  <c r="CC15" i="7"/>
  <c r="DC15" i="7" s="1"/>
  <c r="CB15" i="7"/>
  <c r="CA15" i="7"/>
  <c r="BW15" i="7"/>
  <c r="BV15" i="7"/>
  <c r="BU15" i="7"/>
  <c r="BT15" i="7"/>
  <c r="BS15" i="7"/>
  <c r="BP15" i="7"/>
  <c r="BN15" i="7"/>
  <c r="BL15" i="7"/>
  <c r="BJ15" i="7"/>
  <c r="BI15" i="7"/>
  <c r="BH15" i="7"/>
  <c r="BE15" i="7"/>
  <c r="BD15" i="7"/>
  <c r="BC15" i="7"/>
  <c r="BB15" i="7"/>
  <c r="BA15" i="7"/>
  <c r="AZ15" i="7"/>
  <c r="AY15" i="7"/>
  <c r="AX15" i="7"/>
  <c r="AW15" i="7"/>
  <c r="AV15" i="7"/>
  <c r="AU15" i="7"/>
  <c r="AQ15" i="7"/>
  <c r="AP15" i="7"/>
  <c r="AG15" i="7"/>
  <c r="AF15" i="7"/>
  <c r="AA15" i="7"/>
  <c r="Z15" i="7"/>
  <c r="Y15" i="7"/>
  <c r="X15" i="7"/>
  <c r="J15" i="7"/>
  <c r="I15" i="7"/>
  <c r="G15" i="7"/>
  <c r="F15" i="7"/>
  <c r="E15" i="7"/>
  <c r="CF14" i="7"/>
  <c r="CE14" i="7"/>
  <c r="CD14" i="7"/>
  <c r="CC14" i="7"/>
  <c r="DC14" i="7" s="1"/>
  <c r="CB14" i="7"/>
  <c r="CA14" i="7"/>
  <c r="BW14" i="7"/>
  <c r="BV14" i="7"/>
  <c r="BU14" i="7"/>
  <c r="BT14" i="7"/>
  <c r="BS14" i="7"/>
  <c r="BP14" i="7"/>
  <c r="BN14" i="7"/>
  <c r="BL14" i="7"/>
  <c r="BJ14" i="7"/>
  <c r="BI14" i="7"/>
  <c r="BH14" i="7"/>
  <c r="BE14" i="7"/>
  <c r="BD14" i="7"/>
  <c r="BC14" i="7"/>
  <c r="BB14" i="7"/>
  <c r="BA14" i="7"/>
  <c r="AZ14" i="7"/>
  <c r="AY14" i="7"/>
  <c r="AX14" i="7"/>
  <c r="AW14" i="7"/>
  <c r="AV14" i="7"/>
  <c r="AU14" i="7"/>
  <c r="AQ14" i="7"/>
  <c r="AP14" i="7"/>
  <c r="AG14" i="7"/>
  <c r="AF14" i="7"/>
  <c r="DB14" i="7" s="1"/>
  <c r="AA14" i="7"/>
  <c r="Z14" i="7"/>
  <c r="Y14" i="7"/>
  <c r="X14" i="7"/>
  <c r="J14" i="7"/>
  <c r="I14" i="7"/>
  <c r="G14" i="7"/>
  <c r="H14" i="7" s="1"/>
  <c r="F14" i="7"/>
  <c r="E14" i="7"/>
  <c r="CF13" i="7"/>
  <c r="CE13" i="7"/>
  <c r="CD13" i="7"/>
  <c r="DC13" i="7" s="1"/>
  <c r="CC13" i="7"/>
  <c r="CB13" i="7"/>
  <c r="CA13" i="7"/>
  <c r="BW13" i="7"/>
  <c r="BV13" i="7"/>
  <c r="BU13" i="7"/>
  <c r="BT13" i="7"/>
  <c r="BS13" i="7"/>
  <c r="BP13" i="7"/>
  <c r="BN13" i="7"/>
  <c r="BL13" i="7"/>
  <c r="BJ13" i="7"/>
  <c r="BI13" i="7"/>
  <c r="BH13" i="7"/>
  <c r="BE13" i="7"/>
  <c r="BD13" i="7"/>
  <c r="BC13" i="7"/>
  <c r="BB13" i="7"/>
  <c r="BA13" i="7"/>
  <c r="AZ13" i="7"/>
  <c r="AY13" i="7"/>
  <c r="AX13" i="7"/>
  <c r="AW13" i="7"/>
  <c r="AV13" i="7"/>
  <c r="AU13" i="7"/>
  <c r="AQ13" i="7"/>
  <c r="AP13" i="7"/>
  <c r="AG13" i="7"/>
  <c r="AF13" i="7"/>
  <c r="AA13" i="7"/>
  <c r="Z13" i="7"/>
  <c r="Y13" i="7"/>
  <c r="X13" i="7"/>
  <c r="J13" i="7"/>
  <c r="I13" i="7"/>
  <c r="G13" i="7"/>
  <c r="F13" i="7"/>
  <c r="E13" i="7"/>
  <c r="CF12" i="7"/>
  <c r="CE12" i="7"/>
  <c r="CD12" i="7"/>
  <c r="CC12" i="7"/>
  <c r="CB12" i="7"/>
  <c r="CA12" i="7"/>
  <c r="BW12" i="7"/>
  <c r="BV12" i="7"/>
  <c r="BU12" i="7"/>
  <c r="BT12" i="7"/>
  <c r="BS12" i="7"/>
  <c r="BP12" i="7"/>
  <c r="BN12" i="7"/>
  <c r="BL12" i="7"/>
  <c r="BJ12" i="7"/>
  <c r="BI12" i="7"/>
  <c r="BH12" i="7"/>
  <c r="BE12" i="7"/>
  <c r="BD12" i="7"/>
  <c r="BC12" i="7"/>
  <c r="BB12" i="7"/>
  <c r="BA12" i="7"/>
  <c r="AZ12" i="7"/>
  <c r="AY12" i="7"/>
  <c r="AX12" i="7"/>
  <c r="AW12" i="7"/>
  <c r="AV12" i="7"/>
  <c r="AU12" i="7"/>
  <c r="AQ12" i="7"/>
  <c r="AP12" i="7"/>
  <c r="AG12" i="7"/>
  <c r="AF12" i="7"/>
  <c r="AA12" i="7"/>
  <c r="DB12" i="7" s="1"/>
  <c r="Z12" i="7"/>
  <c r="Y12" i="7"/>
  <c r="X12" i="7"/>
  <c r="J12" i="7"/>
  <c r="I12" i="7"/>
  <c r="G12" i="7"/>
  <c r="F12" i="7"/>
  <c r="E12" i="7"/>
  <c r="CF11" i="7"/>
  <c r="CE11" i="7"/>
  <c r="CD11" i="7"/>
  <c r="CC11" i="7"/>
  <c r="CB11" i="7"/>
  <c r="CA11" i="7"/>
  <c r="BW11" i="7"/>
  <c r="BV11" i="7"/>
  <c r="BU11" i="7"/>
  <c r="BT11" i="7"/>
  <c r="BS11" i="7"/>
  <c r="BP11" i="7"/>
  <c r="BN11" i="7"/>
  <c r="BL11" i="7"/>
  <c r="BJ11" i="7"/>
  <c r="BI11" i="7"/>
  <c r="BH11" i="7"/>
  <c r="BE11" i="7"/>
  <c r="BD11" i="7"/>
  <c r="BC11" i="7"/>
  <c r="BB11" i="7"/>
  <c r="BA11" i="7"/>
  <c r="AZ11" i="7"/>
  <c r="AY11" i="7"/>
  <c r="AX11" i="7"/>
  <c r="AW11" i="7"/>
  <c r="AV11" i="7"/>
  <c r="AU11" i="7"/>
  <c r="AQ11" i="7"/>
  <c r="AP11" i="7"/>
  <c r="AG11" i="7"/>
  <c r="AF11" i="7"/>
  <c r="AA11" i="7"/>
  <c r="Z11" i="7"/>
  <c r="Y11" i="7"/>
  <c r="X11" i="7"/>
  <c r="J11" i="7"/>
  <c r="I11" i="7"/>
  <c r="G11" i="7"/>
  <c r="F11" i="7"/>
  <c r="E11" i="7"/>
  <c r="CF10" i="7"/>
  <c r="DC10" i="7" s="1"/>
  <c r="CE10" i="7"/>
  <c r="CD10" i="7"/>
  <c r="CC10" i="7"/>
  <c r="CB10" i="7"/>
  <c r="CA10" i="7"/>
  <c r="BW10" i="7"/>
  <c r="BV10" i="7"/>
  <c r="BU10" i="7"/>
  <c r="BT10" i="7"/>
  <c r="BS10" i="7"/>
  <c r="BP10" i="7"/>
  <c r="BN10" i="7"/>
  <c r="BL10" i="7"/>
  <c r="BJ10" i="7"/>
  <c r="BI10" i="7"/>
  <c r="BH10" i="7"/>
  <c r="BE10" i="7"/>
  <c r="BD10" i="7"/>
  <c r="BC10" i="7"/>
  <c r="BB10" i="7"/>
  <c r="BA10" i="7"/>
  <c r="AZ10" i="7"/>
  <c r="AY10" i="7"/>
  <c r="AX10" i="7"/>
  <c r="AW10" i="7"/>
  <c r="AV10" i="7"/>
  <c r="AU10" i="7"/>
  <c r="AQ10" i="7"/>
  <c r="AP10" i="7"/>
  <c r="AG10" i="7"/>
  <c r="AF10" i="7"/>
  <c r="AA10" i="7"/>
  <c r="Z10" i="7"/>
  <c r="Y10" i="7"/>
  <c r="X10" i="7"/>
  <c r="J10" i="7"/>
  <c r="I10" i="7"/>
  <c r="G10" i="7"/>
  <c r="H10" i="7" s="1"/>
  <c r="F10" i="7"/>
  <c r="E10" i="7"/>
  <c r="CF9" i="7"/>
  <c r="CE9" i="7"/>
  <c r="CD9" i="7"/>
  <c r="CC9" i="7"/>
  <c r="DC9" i="7" s="1"/>
  <c r="CB9" i="7"/>
  <c r="CA9" i="7"/>
  <c r="BW9" i="7"/>
  <c r="BV9" i="7"/>
  <c r="BU9" i="7"/>
  <c r="BT9" i="7"/>
  <c r="BS9" i="7"/>
  <c r="BP9" i="7"/>
  <c r="BN9" i="7"/>
  <c r="BL9" i="7"/>
  <c r="BJ9" i="7"/>
  <c r="BI9" i="7"/>
  <c r="BH9" i="7"/>
  <c r="BE9" i="7"/>
  <c r="BD9" i="7"/>
  <c r="BC9" i="7"/>
  <c r="BB9" i="7"/>
  <c r="BA9" i="7"/>
  <c r="AZ9" i="7"/>
  <c r="AY9" i="7"/>
  <c r="AX9" i="7"/>
  <c r="AW9" i="7"/>
  <c r="AV9" i="7"/>
  <c r="AU9" i="7"/>
  <c r="AQ9" i="7"/>
  <c r="AP9" i="7"/>
  <c r="AG9" i="7"/>
  <c r="AF9" i="7"/>
  <c r="AA9" i="7"/>
  <c r="Z9" i="7"/>
  <c r="Y9" i="7"/>
  <c r="X9" i="7"/>
  <c r="J9" i="7"/>
  <c r="I9" i="7"/>
  <c r="G9" i="7"/>
  <c r="F9" i="7"/>
  <c r="E9" i="7"/>
  <c r="CF8" i="7"/>
  <c r="CE8" i="7"/>
  <c r="CD8" i="7"/>
  <c r="CC8" i="7"/>
  <c r="DC8" i="7" s="1"/>
  <c r="CB8" i="7"/>
  <c r="CA8" i="7"/>
  <c r="BW8" i="7"/>
  <c r="BV8" i="7"/>
  <c r="BU8" i="7"/>
  <c r="BT8" i="7"/>
  <c r="BS8" i="7"/>
  <c r="BP8" i="7"/>
  <c r="BN8" i="7"/>
  <c r="BL8" i="7"/>
  <c r="BJ8" i="7"/>
  <c r="BI8" i="7"/>
  <c r="BH8" i="7"/>
  <c r="BE8" i="7"/>
  <c r="BD8" i="7"/>
  <c r="BC8" i="7"/>
  <c r="BB8" i="7"/>
  <c r="BA8" i="7"/>
  <c r="AZ8" i="7"/>
  <c r="AY8" i="7"/>
  <c r="AX8" i="7"/>
  <c r="AW8" i="7"/>
  <c r="AV8" i="7"/>
  <c r="AU8" i="7"/>
  <c r="AQ8" i="7"/>
  <c r="AP8" i="7"/>
  <c r="AG8" i="7"/>
  <c r="AF8" i="7"/>
  <c r="AA8" i="7"/>
  <c r="Z8" i="7"/>
  <c r="Y8" i="7"/>
  <c r="X8" i="7"/>
  <c r="J8" i="7"/>
  <c r="I8" i="7"/>
  <c r="G8" i="7"/>
  <c r="F8" i="7"/>
  <c r="E8" i="7"/>
  <c r="CF7" i="7"/>
  <c r="CE7" i="7"/>
  <c r="CD7" i="7"/>
  <c r="CC7" i="7"/>
  <c r="CB7" i="7"/>
  <c r="CA7" i="7"/>
  <c r="BW7" i="7"/>
  <c r="BV7" i="7"/>
  <c r="BU7" i="7"/>
  <c r="BT7" i="7"/>
  <c r="BS7" i="7"/>
  <c r="BP7" i="7"/>
  <c r="BN7" i="7"/>
  <c r="BL7" i="7"/>
  <c r="BJ7" i="7"/>
  <c r="BI7" i="7"/>
  <c r="BH7" i="7"/>
  <c r="BE7" i="7"/>
  <c r="BD7" i="7"/>
  <c r="BC7" i="7"/>
  <c r="BB7" i="7"/>
  <c r="BA7" i="7"/>
  <c r="AZ7" i="7"/>
  <c r="AY7" i="7"/>
  <c r="AX7" i="7"/>
  <c r="AW7" i="7"/>
  <c r="AV7" i="7"/>
  <c r="AU7" i="7"/>
  <c r="AQ7" i="7"/>
  <c r="AP7" i="7"/>
  <c r="AG7" i="7"/>
  <c r="AF7" i="7"/>
  <c r="AA7" i="7"/>
  <c r="Z7" i="7"/>
  <c r="Y7" i="7"/>
  <c r="X7" i="7"/>
  <c r="J7" i="7"/>
  <c r="I7" i="7"/>
  <c r="G7" i="7"/>
  <c r="F7" i="7"/>
  <c r="E7" i="7"/>
  <c r="CF6" i="7"/>
  <c r="CE6" i="7"/>
  <c r="CE122" i="7" s="1"/>
  <c r="CD6" i="7"/>
  <c r="CC6" i="7"/>
  <c r="CB6" i="7"/>
  <c r="CA6" i="7"/>
  <c r="BW6" i="7"/>
  <c r="BV6" i="7"/>
  <c r="BU6" i="7"/>
  <c r="BT6" i="7"/>
  <c r="BS6" i="7"/>
  <c r="BP6" i="7"/>
  <c r="BN6" i="7"/>
  <c r="BL6" i="7"/>
  <c r="BJ6" i="7"/>
  <c r="BI6" i="7"/>
  <c r="BH6" i="7"/>
  <c r="BE6" i="7"/>
  <c r="BD6" i="7"/>
  <c r="BC6" i="7"/>
  <c r="BB6" i="7"/>
  <c r="BA6" i="7"/>
  <c r="AZ6" i="7"/>
  <c r="AY6" i="7"/>
  <c r="AX6" i="7"/>
  <c r="AW6" i="7"/>
  <c r="AV6" i="7"/>
  <c r="AU6" i="7"/>
  <c r="AQ6" i="7"/>
  <c r="AP6" i="7"/>
  <c r="AG6" i="7"/>
  <c r="AF6" i="7"/>
  <c r="AA6" i="7"/>
  <c r="AA122" i="7" s="1"/>
  <c r="Z6" i="7"/>
  <c r="Y6" i="7"/>
  <c r="X6" i="7"/>
  <c r="J6" i="7"/>
  <c r="I6" i="7"/>
  <c r="G6" i="7"/>
  <c r="F6" i="7"/>
  <c r="E6" i="7"/>
  <c r="CS80" i="6"/>
  <c r="CS80" i="7" s="1"/>
  <c r="CS118" i="6"/>
  <c r="CS118" i="7" s="1"/>
  <c r="CS64" i="6"/>
  <c r="CS64" i="7" s="1"/>
  <c r="CS39" i="6"/>
  <c r="CS39" i="7" s="1"/>
  <c r="CS26" i="6"/>
  <c r="CS26" i="7" s="1"/>
  <c r="N70" i="3"/>
  <c r="AH122" i="7" l="1"/>
  <c r="DB7" i="7"/>
  <c r="DB54" i="7"/>
  <c r="DB62" i="7"/>
  <c r="DB110" i="7"/>
  <c r="DB118" i="7"/>
  <c r="DB11" i="7"/>
  <c r="DB19" i="7"/>
  <c r="DB34" i="7"/>
  <c r="DB42" i="7"/>
  <c r="DB50" i="7"/>
  <c r="DB58" i="7"/>
  <c r="DB66" i="7"/>
  <c r="DB74" i="7"/>
  <c r="DB82" i="7"/>
  <c r="DB90" i="7"/>
  <c r="DB98" i="7"/>
  <c r="DB106" i="7"/>
  <c r="DB114" i="7"/>
  <c r="DB13" i="7"/>
  <c r="DB21" i="7"/>
  <c r="DB52" i="7"/>
  <c r="DB60" i="7"/>
  <c r="DB68" i="7"/>
  <c r="DB76" i="7"/>
  <c r="DB84" i="7"/>
  <c r="DB92" i="7"/>
  <c r="DB100" i="7"/>
  <c r="DB108" i="7"/>
  <c r="DB116" i="7"/>
  <c r="DB29" i="7"/>
  <c r="DB37" i="7"/>
  <c r="DB61" i="7"/>
  <c r="DB69" i="7"/>
  <c r="DB15" i="7"/>
  <c r="DB23" i="7"/>
  <c r="DB8" i="7"/>
  <c r="DB16" i="7"/>
  <c r="DB24" i="7"/>
  <c r="DB87" i="7"/>
  <c r="DB95" i="7"/>
  <c r="DB103" i="7"/>
  <c r="DB111" i="7"/>
  <c r="DB119" i="7"/>
  <c r="DB9" i="7"/>
  <c r="DB17" i="7"/>
  <c r="DB25" i="7"/>
  <c r="DB32" i="7"/>
  <c r="DB40" i="7"/>
  <c r="DB48" i="7"/>
  <c r="DB56" i="7"/>
  <c r="DB64" i="7"/>
  <c r="DB72" i="7"/>
  <c r="DB80" i="7"/>
  <c r="DB88" i="7"/>
  <c r="DB96" i="7"/>
  <c r="DB104" i="7"/>
  <c r="DB112" i="7"/>
  <c r="DB120" i="7"/>
  <c r="DB10" i="7"/>
  <c r="DB18" i="7"/>
  <c r="DB26" i="7"/>
  <c r="DB33" i="7"/>
  <c r="DB41" i="7"/>
  <c r="DB57" i="7"/>
  <c r="DB65" i="7"/>
  <c r="DB73" i="7"/>
  <c r="DB81" i="7"/>
  <c r="DB89" i="7"/>
  <c r="DB97" i="7"/>
  <c r="DB105" i="7"/>
  <c r="DB113" i="7"/>
  <c r="DB121" i="7"/>
  <c r="H87" i="7"/>
  <c r="AX122" i="7"/>
  <c r="H53" i="7"/>
  <c r="H89" i="7"/>
  <c r="AY122" i="7"/>
  <c r="H12" i="7"/>
  <c r="DC12" i="7"/>
  <c r="DC18" i="7"/>
  <c r="DC46" i="7"/>
  <c r="DC54" i="7"/>
  <c r="DC61" i="7"/>
  <c r="DC68" i="7"/>
  <c r="DC74" i="7"/>
  <c r="DC75" i="7"/>
  <c r="DC90" i="7"/>
  <c r="DC102" i="7"/>
  <c r="H11" i="7"/>
  <c r="DC27" i="7"/>
  <c r="DB6" i="7"/>
  <c r="DC6" i="7"/>
  <c r="DC11" i="7"/>
  <c r="H23" i="7"/>
  <c r="DC41" i="7"/>
  <c r="H50" i="7"/>
  <c r="DC55" i="7"/>
  <c r="DC83" i="7"/>
  <c r="DC84" i="7"/>
  <c r="DC91" i="7"/>
  <c r="H93" i="7"/>
  <c r="DC95" i="7"/>
  <c r="DC101" i="7"/>
  <c r="DC104" i="7"/>
  <c r="H106" i="7"/>
  <c r="DC110" i="7"/>
  <c r="DC118" i="7"/>
  <c r="H67" i="7"/>
  <c r="Z122" i="7"/>
  <c r="CD122" i="7"/>
  <c r="DC7" i="7"/>
  <c r="DC19" i="7"/>
  <c r="DC21" i="7"/>
  <c r="DC28" i="7"/>
  <c r="DC34" i="7"/>
  <c r="DC35" i="7"/>
  <c r="DC36" i="7"/>
  <c r="DC62" i="7"/>
  <c r="DC63" i="7"/>
  <c r="DC76" i="7"/>
  <c r="DC77" i="7"/>
  <c r="DC85" i="7"/>
  <c r="DC98" i="7"/>
  <c r="DC103" i="7"/>
  <c r="DC112" i="7"/>
  <c r="H115" i="7"/>
  <c r="DC119" i="7"/>
  <c r="DC113" i="7"/>
  <c r="DC20" i="7"/>
  <c r="H96" i="7"/>
  <c r="H19" i="7"/>
  <c r="H34" i="7"/>
  <c r="H40" i="7"/>
  <c r="H47" i="7"/>
  <c r="H54" i="7"/>
  <c r="DC79" i="7"/>
  <c r="DC87" i="7"/>
  <c r="H90" i="7"/>
  <c r="H97" i="7"/>
  <c r="H103" i="7"/>
  <c r="DC114" i="7"/>
  <c r="H117" i="7"/>
  <c r="DC120" i="7"/>
  <c r="DC121" i="7"/>
  <c r="BF122" i="7"/>
  <c r="H109" i="7"/>
  <c r="BV122" i="7"/>
  <c r="BW122" i="7"/>
  <c r="H13" i="7"/>
  <c r="H20" i="7"/>
  <c r="H27" i="7"/>
  <c r="DC43" i="7"/>
  <c r="DC49" i="7"/>
  <c r="DC59" i="7"/>
  <c r="DC66" i="7"/>
  <c r="H69" i="7"/>
  <c r="DC72" i="7"/>
  <c r="DC73" i="7"/>
  <c r="DC81" i="7"/>
  <c r="H84" i="7"/>
  <c r="DC94" i="7"/>
  <c r="H104" i="7"/>
  <c r="H60" i="7"/>
  <c r="J122" i="7"/>
  <c r="DC31" i="7"/>
  <c r="DC33" i="7"/>
  <c r="DC53" i="7"/>
  <c r="DC60" i="7"/>
  <c r="DC67" i="7"/>
  <c r="DC82" i="7"/>
  <c r="DC89" i="7"/>
  <c r="DC93" i="7"/>
  <c r="DC96" i="7"/>
  <c r="DC109" i="7"/>
  <c r="BO122" i="7"/>
  <c r="AQ122" i="7"/>
  <c r="AP122" i="7"/>
  <c r="BN122" i="7"/>
  <c r="CJ81" i="7"/>
  <c r="BG122" i="7"/>
  <c r="CJ57" i="7"/>
  <c r="CJ35" i="7"/>
  <c r="CJ111" i="7"/>
  <c r="CJ7" i="7"/>
  <c r="CJ9" i="7"/>
  <c r="CJ11" i="7"/>
  <c r="CJ13" i="7"/>
  <c r="CJ15" i="7"/>
  <c r="CJ17" i="7"/>
  <c r="CJ19" i="7"/>
  <c r="CJ21" i="7"/>
  <c r="CJ23" i="7"/>
  <c r="CJ25" i="7"/>
  <c r="CJ27" i="7"/>
  <c r="CJ29" i="7"/>
  <c r="CJ31" i="7"/>
  <c r="CJ32" i="7"/>
  <c r="CJ33" i="7"/>
  <c r="CJ37" i="7"/>
  <c r="CJ39" i="7"/>
  <c r="CJ41" i="7"/>
  <c r="CJ43" i="7"/>
  <c r="CJ45" i="7"/>
  <c r="CJ50" i="7"/>
  <c r="CJ51" i="7"/>
  <c r="CJ55" i="7"/>
  <c r="CJ59" i="7"/>
  <c r="CJ61" i="7"/>
  <c r="CJ65" i="7"/>
  <c r="CJ67" i="7"/>
  <c r="CJ71" i="7"/>
  <c r="CJ75" i="7"/>
  <c r="CJ79" i="7"/>
  <c r="CJ87" i="7"/>
  <c r="CJ89" i="7"/>
  <c r="CJ93" i="7"/>
  <c r="CJ95" i="7"/>
  <c r="CJ101" i="7"/>
  <c r="CJ103" i="7"/>
  <c r="CJ107" i="7"/>
  <c r="CJ113" i="7"/>
  <c r="CJ78" i="7"/>
  <c r="CJ8" i="7"/>
  <c r="CJ10" i="7"/>
  <c r="CJ12" i="7"/>
  <c r="CJ14" i="7"/>
  <c r="CJ16" i="7"/>
  <c r="CJ18" i="7"/>
  <c r="CJ20" i="7"/>
  <c r="CJ22" i="7"/>
  <c r="CJ24" i="7"/>
  <c r="CJ26" i="7"/>
  <c r="CJ28" i="7"/>
  <c r="CJ30" i="7"/>
  <c r="CJ34" i="7"/>
  <c r="CJ38" i="7"/>
  <c r="CJ40" i="7"/>
  <c r="CJ44" i="7"/>
  <c r="CJ54" i="7"/>
  <c r="CJ64" i="7"/>
  <c r="CJ68" i="7"/>
  <c r="CJ70" i="7"/>
  <c r="CJ72" i="7"/>
  <c r="CJ76" i="7"/>
  <c r="CJ82" i="7"/>
  <c r="CJ86" i="7"/>
  <c r="CJ88" i="7"/>
  <c r="CJ92" i="7"/>
  <c r="CJ98" i="7"/>
  <c r="CJ106" i="7"/>
  <c r="CJ108" i="7"/>
  <c r="CJ110" i="7"/>
  <c r="CJ120" i="7"/>
  <c r="K122" i="7"/>
  <c r="H41" i="7"/>
  <c r="H61" i="7"/>
  <c r="H92" i="7"/>
  <c r="H78" i="7"/>
  <c r="H119" i="7"/>
  <c r="H18" i="7"/>
  <c r="H57" i="7"/>
  <c r="H86" i="7"/>
  <c r="H120" i="7"/>
  <c r="H22" i="7"/>
  <c r="H38" i="7"/>
  <c r="H71" i="7"/>
  <c r="H74" i="7"/>
  <c r="H114" i="7"/>
  <c r="H29" i="7"/>
  <c r="H75" i="7"/>
  <c r="H100" i="7"/>
  <c r="H107" i="7"/>
  <c r="H33" i="7"/>
  <c r="H8" i="7"/>
  <c r="H17" i="7"/>
  <c r="H35" i="7"/>
  <c r="H46" i="7"/>
  <c r="H64" i="7"/>
  <c r="H68" i="7"/>
  <c r="H72" i="7"/>
  <c r="H99" i="7"/>
  <c r="H102" i="7"/>
  <c r="H110" i="7"/>
  <c r="H15" i="7"/>
  <c r="H24" i="7"/>
  <c r="H44" i="7"/>
  <c r="H58" i="7"/>
  <c r="H62" i="7"/>
  <c r="H65" i="7"/>
  <c r="H76" i="7"/>
  <c r="H79" i="7"/>
  <c r="H66" i="7"/>
  <c r="H82" i="7"/>
  <c r="H91" i="7"/>
  <c r="H108" i="7"/>
  <c r="H121" i="7"/>
  <c r="H9" i="7"/>
  <c r="H39" i="7"/>
  <c r="H42" i="7"/>
  <c r="H45" i="7"/>
  <c r="H48" i="7"/>
  <c r="H51" i="7"/>
  <c r="H55" i="7"/>
  <c r="H111" i="7"/>
  <c r="H118" i="7"/>
  <c r="H36" i="7"/>
  <c r="H52" i="7"/>
  <c r="H83" i="7"/>
  <c r="H94" i="7"/>
  <c r="H7" i="7"/>
  <c r="T122" i="7"/>
  <c r="BX122" i="7"/>
  <c r="CJ46" i="7"/>
  <c r="CJ52" i="7"/>
  <c r="CJ62" i="7"/>
  <c r="CJ94" i="7"/>
  <c r="AR122" i="7"/>
  <c r="E122" i="7"/>
  <c r="U122" i="7"/>
  <c r="AK122" i="7"/>
  <c r="BA122" i="7"/>
  <c r="BQ122" i="7"/>
  <c r="CJ6" i="7"/>
  <c r="CJ36" i="7"/>
  <c r="CJ47" i="7"/>
  <c r="AB122" i="7"/>
  <c r="CF122" i="7"/>
  <c r="M122" i="7"/>
  <c r="AC122" i="7"/>
  <c r="AS122" i="7"/>
  <c r="BI122" i="7"/>
  <c r="BY122" i="7"/>
  <c r="F122" i="7"/>
  <c r="N122" i="7"/>
  <c r="V122" i="7"/>
  <c r="AD122" i="7"/>
  <c r="AL122" i="7"/>
  <c r="AT122" i="7"/>
  <c r="BB122" i="7"/>
  <c r="BJ122" i="7"/>
  <c r="BR122" i="7"/>
  <c r="BZ122" i="7"/>
  <c r="DC44" i="7"/>
  <c r="CJ74" i="7"/>
  <c r="CJ91" i="7"/>
  <c r="CJ118" i="7"/>
  <c r="BH122" i="7"/>
  <c r="O122" i="7"/>
  <c r="BC122" i="7"/>
  <c r="CJ53" i="7"/>
  <c r="CJ56" i="7"/>
  <c r="CJ66" i="7"/>
  <c r="CJ69" i="7"/>
  <c r="CJ96" i="7"/>
  <c r="CJ99" i="7"/>
  <c r="CJ104" i="7"/>
  <c r="CJ109" i="7"/>
  <c r="CJ115" i="7"/>
  <c r="AJ122" i="7"/>
  <c r="G122" i="7"/>
  <c r="AE122" i="7"/>
  <c r="BS122" i="7"/>
  <c r="P122" i="7"/>
  <c r="AN122" i="7"/>
  <c r="BL122" i="7"/>
  <c r="DC40" i="7"/>
  <c r="CJ83" i="7"/>
  <c r="CJ84" i="7"/>
  <c r="CJ102" i="7"/>
  <c r="CJ112" i="7"/>
  <c r="CJ117" i="7"/>
  <c r="AZ122" i="7"/>
  <c r="AM122" i="7"/>
  <c r="BK122" i="7"/>
  <c r="X122" i="7"/>
  <c r="AV122" i="7"/>
  <c r="BT122" i="7"/>
  <c r="Y122" i="7"/>
  <c r="AO122" i="7"/>
  <c r="BM122" i="7"/>
  <c r="CC122" i="7"/>
  <c r="CJ42" i="7"/>
  <c r="CJ48" i="7"/>
  <c r="DC65" i="7"/>
  <c r="CJ77" i="7"/>
  <c r="CJ97" i="7"/>
  <c r="CJ116" i="7"/>
  <c r="L122" i="7"/>
  <c r="BP122" i="7"/>
  <c r="W122" i="7"/>
  <c r="AU122" i="7"/>
  <c r="CA122" i="7"/>
  <c r="H6" i="7"/>
  <c r="AF122" i="7"/>
  <c r="BD122" i="7"/>
  <c r="CB122" i="7"/>
  <c r="Q122" i="7"/>
  <c r="AG122" i="7"/>
  <c r="AW122" i="7"/>
  <c r="BE122" i="7"/>
  <c r="BU122" i="7"/>
  <c r="DC47" i="7"/>
  <c r="CJ49" i="7"/>
  <c r="DC50" i="7"/>
  <c r="CJ58" i="7"/>
  <c r="CJ60" i="7"/>
  <c r="CJ63" i="7"/>
  <c r="CJ73" i="7"/>
  <c r="CJ85" i="7"/>
  <c r="CJ90" i="7"/>
  <c r="CJ105" i="7"/>
  <c r="CJ114" i="7"/>
  <c r="CJ119" i="7"/>
  <c r="CJ80" i="7"/>
  <c r="CJ100" i="7"/>
  <c r="CJ121" i="7"/>
  <c r="R79" i="3"/>
  <c r="DC122" i="7" l="1"/>
  <c r="DB122" i="7"/>
  <c r="CJ122" i="7"/>
  <c r="H122" i="7"/>
  <c r="CU83" i="6"/>
  <c r="CU83" i="7" s="1"/>
  <c r="W79" i="3"/>
  <c r="N117" i="3"/>
  <c r="N116" i="3"/>
  <c r="N115" i="3"/>
  <c r="N114" i="3"/>
  <c r="N113" i="3"/>
  <c r="N112" i="3"/>
  <c r="N111" i="3"/>
  <c r="N110" i="3"/>
  <c r="N109" i="3"/>
  <c r="N108" i="3"/>
  <c r="N107" i="3"/>
  <c r="N106" i="3"/>
  <c r="N105" i="3"/>
  <c r="N104" i="3"/>
  <c r="N103" i="3"/>
  <c r="N102" i="3"/>
  <c r="N101" i="3"/>
  <c r="N100"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N8" i="3"/>
  <c r="N7" i="3"/>
  <c r="N6" i="3"/>
  <c r="N5" i="3"/>
  <c r="N4" i="3"/>
  <c r="Q34" i="3"/>
  <c r="R117" i="3"/>
  <c r="CU121" i="6" s="1"/>
  <c r="CU121" i="7" s="1"/>
  <c r="R116" i="3"/>
  <c r="CU120" i="6" s="1"/>
  <c r="CU120" i="7" s="1"/>
  <c r="R115" i="3"/>
  <c r="R114" i="3"/>
  <c r="R113" i="3"/>
  <c r="R112" i="3"/>
  <c r="R111" i="3"/>
  <c r="R110" i="3"/>
  <c r="R109" i="3"/>
  <c r="R108" i="3"/>
  <c r="R107" i="3"/>
  <c r="R106" i="3"/>
  <c r="R105" i="3"/>
  <c r="R104" i="3"/>
  <c r="R103" i="3"/>
  <c r="R102" i="3"/>
  <c r="CU106" i="6" s="1"/>
  <c r="CU106" i="7" s="1"/>
  <c r="R101" i="3"/>
  <c r="R99" i="3"/>
  <c r="R98" i="3"/>
  <c r="CU102" i="6" s="1"/>
  <c r="CU102" i="7" s="1"/>
  <c r="R97" i="3"/>
  <c r="R96" i="3"/>
  <c r="R95" i="3"/>
  <c r="R94" i="3"/>
  <c r="R93" i="3"/>
  <c r="R92" i="3"/>
  <c r="CU96" i="6" s="1"/>
  <c r="CU96" i="7" s="1"/>
  <c r="R91" i="3"/>
  <c r="R90" i="3"/>
  <c r="R89" i="3"/>
  <c r="R88" i="3"/>
  <c r="CU92" i="6" s="1"/>
  <c r="CU92" i="7" s="1"/>
  <c r="R87" i="3"/>
  <c r="CU91" i="6" s="1"/>
  <c r="CU91" i="7" s="1"/>
  <c r="R86" i="3"/>
  <c r="CU90" i="6" s="1"/>
  <c r="CU90" i="7" s="1"/>
  <c r="R84" i="3"/>
  <c r="R83" i="3"/>
  <c r="R82" i="3"/>
  <c r="R81" i="3"/>
  <c r="R80" i="3"/>
  <c r="CU84" i="6" s="1"/>
  <c r="CU84" i="7" s="1"/>
  <c r="R78" i="3"/>
  <c r="R77" i="3"/>
  <c r="R76" i="3"/>
  <c r="R75" i="3"/>
  <c r="R74" i="3"/>
  <c r="R73" i="3"/>
  <c r="R72" i="3"/>
  <c r="R71" i="3"/>
  <c r="R69" i="3"/>
  <c r="CU73" i="6" s="1"/>
  <c r="CU73" i="7" s="1"/>
  <c r="R68" i="3"/>
  <c r="CU72" i="6" s="1"/>
  <c r="CU72" i="7" s="1"/>
  <c r="R67" i="3"/>
  <c r="R66" i="3"/>
  <c r="R65" i="3"/>
  <c r="R64" i="3"/>
  <c r="R63" i="3"/>
  <c r="CU67" i="6" s="1"/>
  <c r="CU67" i="7" s="1"/>
  <c r="R62" i="3"/>
  <c r="CU66" i="6" s="1"/>
  <c r="CU66" i="7" s="1"/>
  <c r="R61" i="3"/>
  <c r="R60" i="3"/>
  <c r="R59" i="3"/>
  <c r="R58" i="3"/>
  <c r="R57" i="3"/>
  <c r="R56" i="3"/>
  <c r="R55" i="3"/>
  <c r="CU59" i="6" s="1"/>
  <c r="CU59" i="7" s="1"/>
  <c r="R54" i="3"/>
  <c r="R53" i="3"/>
  <c r="R52" i="3"/>
  <c r="R51" i="3"/>
  <c r="R50" i="3"/>
  <c r="CU54" i="6" s="1"/>
  <c r="CU54" i="7" s="1"/>
  <c r="R49" i="3"/>
  <c r="CU53" i="6" s="1"/>
  <c r="CU53" i="7" s="1"/>
  <c r="R48" i="3"/>
  <c r="CU52" i="6" s="1"/>
  <c r="CU52" i="7" s="1"/>
  <c r="R47" i="3"/>
  <c r="R46" i="3"/>
  <c r="R45" i="3"/>
  <c r="CU49" i="6" s="1"/>
  <c r="CU49" i="7" s="1"/>
  <c r="R44" i="3"/>
  <c r="R43" i="3"/>
  <c r="R42" i="3"/>
  <c r="R41" i="3"/>
  <c r="R40" i="3"/>
  <c r="CU44" i="6" s="1"/>
  <c r="CU44" i="7" s="1"/>
  <c r="R39" i="3"/>
  <c r="CU43" i="6" s="1"/>
  <c r="CU43" i="7" s="1"/>
  <c r="R38" i="3"/>
  <c r="R37" i="3"/>
  <c r="R36" i="3"/>
  <c r="R35" i="3"/>
  <c r="R33" i="3"/>
  <c r="CU37" i="6" s="1"/>
  <c r="CU37" i="7" s="1"/>
  <c r="R32" i="3"/>
  <c r="R31" i="3"/>
  <c r="CU35" i="6" s="1"/>
  <c r="CU35" i="7" s="1"/>
  <c r="R30" i="3"/>
  <c r="CU34" i="6" s="1"/>
  <c r="CU34" i="7" s="1"/>
  <c r="R29" i="3"/>
  <c r="R28" i="3"/>
  <c r="R27" i="3"/>
  <c r="CU31" i="6" s="1"/>
  <c r="CU31" i="7" s="1"/>
  <c r="R26" i="3"/>
  <c r="CU30" i="6" s="1"/>
  <c r="CU30" i="7" s="1"/>
  <c r="R25" i="3"/>
  <c r="CU29" i="6" s="1"/>
  <c r="CU29" i="7" s="1"/>
  <c r="R24" i="3"/>
  <c r="R23" i="3"/>
  <c r="CU27" i="6" s="1"/>
  <c r="CU27" i="7" s="1"/>
  <c r="R22" i="3"/>
  <c r="R21" i="3"/>
  <c r="R20" i="3"/>
  <c r="R19" i="3"/>
  <c r="R18" i="3"/>
  <c r="R17" i="3"/>
  <c r="R16" i="3"/>
  <c r="W16" i="3" s="1"/>
  <c r="R15" i="3"/>
  <c r="CU19" i="6" s="1"/>
  <c r="CU19" i="7" s="1"/>
  <c r="R14" i="3"/>
  <c r="R13" i="3"/>
  <c r="R12" i="3"/>
  <c r="R11" i="3"/>
  <c r="CU15" i="6" s="1"/>
  <c r="CU15" i="7" s="1"/>
  <c r="R10" i="3"/>
  <c r="R9" i="3"/>
  <c r="R8" i="3"/>
  <c r="CU12" i="6" s="1"/>
  <c r="CU12" i="7" s="1"/>
  <c r="R7" i="3"/>
  <c r="R6" i="3"/>
  <c r="CU10" i="6" s="1"/>
  <c r="CU10" i="7" s="1"/>
  <c r="R5" i="3"/>
  <c r="CU9" i="6" s="1"/>
  <c r="CU9" i="7" s="1"/>
  <c r="R4" i="3"/>
  <c r="CU8" i="6" s="1"/>
  <c r="CU8" i="7" s="1"/>
  <c r="R3" i="3"/>
  <c r="R2" i="3"/>
  <c r="CU26" i="6" l="1"/>
  <c r="CU26" i="7" s="1"/>
  <c r="W22" i="3"/>
  <c r="CU39" i="6"/>
  <c r="CU39" i="7" s="1"/>
  <c r="W35" i="3"/>
  <c r="CU80" i="6"/>
  <c r="CU80" i="7" s="1"/>
  <c r="W76" i="3"/>
  <c r="CU118" i="6"/>
  <c r="CU118" i="7" s="1"/>
  <c r="W114" i="3"/>
  <c r="CU95" i="6"/>
  <c r="CU95" i="7" s="1"/>
  <c r="W91" i="3"/>
  <c r="CU115" i="6"/>
  <c r="CU115" i="7" s="1"/>
  <c r="W111" i="3"/>
  <c r="CU64" i="6"/>
  <c r="CU64" i="7" s="1"/>
  <c r="W60" i="3"/>
  <c r="CU22" i="6"/>
  <c r="CU22" i="7" s="1"/>
  <c r="W18" i="3"/>
  <c r="CU107" i="6"/>
  <c r="CU107" i="7" s="1"/>
  <c r="W103" i="3"/>
  <c r="CU40" i="6"/>
  <c r="CU40" i="7" s="1"/>
  <c r="W36" i="3"/>
  <c r="CU48" i="6"/>
  <c r="CU48" i="7" s="1"/>
  <c r="W44" i="3"/>
  <c r="CU81" i="6"/>
  <c r="CU81" i="7" s="1"/>
  <c r="W77" i="3"/>
  <c r="CU108" i="6"/>
  <c r="CU108" i="7" s="1"/>
  <c r="W104" i="3"/>
  <c r="CU24" i="6"/>
  <c r="CU24" i="7" s="1"/>
  <c r="W20" i="3"/>
  <c r="CU57" i="6"/>
  <c r="CU57" i="7" s="1"/>
  <c r="W53" i="3"/>
  <c r="CU65" i="6"/>
  <c r="CU65" i="7" s="1"/>
  <c r="W61" i="3"/>
  <c r="CU82" i="6"/>
  <c r="CU82" i="7" s="1"/>
  <c r="W78" i="3"/>
  <c r="CU100" i="6"/>
  <c r="CU100" i="7" s="1"/>
  <c r="W96" i="3"/>
  <c r="CU109" i="6"/>
  <c r="CU109" i="7" s="1"/>
  <c r="W105" i="3"/>
  <c r="CU117" i="6"/>
  <c r="CU117" i="7" s="1"/>
  <c r="W113" i="3"/>
  <c r="CU17" i="6"/>
  <c r="CU17" i="7" s="1"/>
  <c r="W13" i="3"/>
  <c r="CU25" i="6"/>
  <c r="CU25" i="7" s="1"/>
  <c r="W21" i="3"/>
  <c r="CU33" i="6"/>
  <c r="CU33" i="7" s="1"/>
  <c r="W29" i="3"/>
  <c r="CU42" i="6"/>
  <c r="CU42" i="7" s="1"/>
  <c r="W38" i="3"/>
  <c r="CU50" i="6"/>
  <c r="CU50" i="7" s="1"/>
  <c r="W46" i="3"/>
  <c r="CU58" i="6"/>
  <c r="CU58" i="7" s="1"/>
  <c r="W54" i="3"/>
  <c r="CU75" i="6"/>
  <c r="CU75" i="7" s="1"/>
  <c r="W71" i="3"/>
  <c r="CU93" i="6"/>
  <c r="CU93" i="7" s="1"/>
  <c r="W89" i="3"/>
  <c r="CU101" i="6"/>
  <c r="CU101" i="7" s="1"/>
  <c r="W97" i="3"/>
  <c r="CU110" i="6"/>
  <c r="CU110" i="7" s="1"/>
  <c r="W106" i="3"/>
  <c r="CU63" i="6"/>
  <c r="CU63" i="7" s="1"/>
  <c r="W59" i="3"/>
  <c r="CU56" i="6"/>
  <c r="CU56" i="7" s="1"/>
  <c r="W52" i="3"/>
  <c r="CU116" i="6"/>
  <c r="CU116" i="7" s="1"/>
  <c r="W112" i="3"/>
  <c r="CU41" i="6"/>
  <c r="CU41" i="7" s="1"/>
  <c r="W37" i="3"/>
  <c r="CU18" i="6"/>
  <c r="CU18" i="7" s="1"/>
  <c r="W14" i="3"/>
  <c r="CU51" i="6"/>
  <c r="CU51" i="7" s="1"/>
  <c r="W47" i="3"/>
  <c r="CU76" i="6"/>
  <c r="CU76" i="7" s="1"/>
  <c r="W72" i="3"/>
  <c r="CU85" i="6"/>
  <c r="CU85" i="7" s="1"/>
  <c r="W81" i="3"/>
  <c r="CU94" i="6"/>
  <c r="CU94" i="7" s="1"/>
  <c r="W90" i="3"/>
  <c r="CU111" i="6"/>
  <c r="CU111" i="7" s="1"/>
  <c r="W107" i="3"/>
  <c r="CU119" i="6"/>
  <c r="CU119" i="7" s="1"/>
  <c r="W115" i="3"/>
  <c r="CU55" i="6"/>
  <c r="CU55" i="7" s="1"/>
  <c r="W51" i="3"/>
  <c r="CU98" i="6"/>
  <c r="CU98" i="7" s="1"/>
  <c r="W94" i="3"/>
  <c r="CU23" i="6"/>
  <c r="CU23" i="7" s="1"/>
  <c r="W19" i="3"/>
  <c r="CU11" i="6"/>
  <c r="CU11" i="7" s="1"/>
  <c r="W7" i="3"/>
  <c r="CU14" i="6"/>
  <c r="CU14" i="7" s="1"/>
  <c r="W10" i="3"/>
  <c r="CU7" i="6"/>
  <c r="CU7" i="7" s="1"/>
  <c r="W3" i="3"/>
  <c r="CU99" i="6"/>
  <c r="CU99" i="7" s="1"/>
  <c r="W95" i="3"/>
  <c r="CU16" i="6"/>
  <c r="CU16" i="7" s="1"/>
  <c r="W12" i="3"/>
  <c r="CU60" i="6"/>
  <c r="CU60" i="7" s="1"/>
  <c r="W56" i="3"/>
  <c r="CU77" i="6"/>
  <c r="CU77" i="7" s="1"/>
  <c r="W73" i="3"/>
  <c r="CU86" i="6"/>
  <c r="CU86" i="7" s="1"/>
  <c r="W82" i="3"/>
  <c r="CU103" i="6"/>
  <c r="CU103" i="7" s="1"/>
  <c r="W99" i="3"/>
  <c r="CU112" i="6"/>
  <c r="CU112" i="7" s="1"/>
  <c r="W108" i="3"/>
  <c r="CU28" i="6"/>
  <c r="CU28" i="7" s="1"/>
  <c r="W24" i="3"/>
  <c r="CU36" i="6"/>
  <c r="CU36" i="7" s="1"/>
  <c r="W32" i="3"/>
  <c r="CU45" i="6"/>
  <c r="CU45" i="7" s="1"/>
  <c r="W41" i="3"/>
  <c r="CU61" i="6"/>
  <c r="CU61" i="7" s="1"/>
  <c r="W57" i="3"/>
  <c r="CU69" i="6"/>
  <c r="CU69" i="7" s="1"/>
  <c r="W65" i="3"/>
  <c r="CU78" i="6"/>
  <c r="CU78" i="7" s="1"/>
  <c r="W74" i="3"/>
  <c r="CU87" i="6"/>
  <c r="CU87" i="7" s="1"/>
  <c r="W83" i="3"/>
  <c r="CU105" i="6"/>
  <c r="CU105" i="7" s="1"/>
  <c r="W101" i="3"/>
  <c r="CU113" i="6"/>
  <c r="CU113" i="7" s="1"/>
  <c r="W109" i="3"/>
  <c r="CU6" i="6"/>
  <c r="W2" i="3"/>
  <c r="CU47" i="6"/>
  <c r="CU47" i="7" s="1"/>
  <c r="W43" i="3"/>
  <c r="CU71" i="6"/>
  <c r="CU71" i="7" s="1"/>
  <c r="W67" i="3"/>
  <c r="CU32" i="6"/>
  <c r="CU32" i="7" s="1"/>
  <c r="W28" i="3"/>
  <c r="CU68" i="6"/>
  <c r="CU68" i="7" s="1"/>
  <c r="W64" i="3"/>
  <c r="CU13" i="6"/>
  <c r="CU13" i="7" s="1"/>
  <c r="W9" i="3"/>
  <c r="CU21" i="6"/>
  <c r="CU21" i="7" s="1"/>
  <c r="W17" i="3"/>
  <c r="CU46" i="6"/>
  <c r="CU46" i="7" s="1"/>
  <c r="W42" i="3"/>
  <c r="CU62" i="6"/>
  <c r="CU62" i="7" s="1"/>
  <c r="W58" i="3"/>
  <c r="CU70" i="6"/>
  <c r="CU70" i="7" s="1"/>
  <c r="W66" i="3"/>
  <c r="CU79" i="6"/>
  <c r="CU79" i="7" s="1"/>
  <c r="W75" i="3"/>
  <c r="CU88" i="6"/>
  <c r="CU88" i="7" s="1"/>
  <c r="W84" i="3"/>
  <c r="CU97" i="6"/>
  <c r="CU97" i="7" s="1"/>
  <c r="W93" i="3"/>
  <c r="CU114" i="6"/>
  <c r="CU114" i="7" s="1"/>
  <c r="W110" i="3"/>
  <c r="CU20" i="6"/>
  <c r="CU20" i="7" s="1"/>
  <c r="S45" i="3"/>
  <c r="S93" i="3"/>
  <c r="S22" i="3"/>
  <c r="S68" i="3"/>
  <c r="S39" i="3"/>
  <c r="S55" i="3"/>
  <c r="S63" i="3"/>
  <c r="S111" i="3"/>
  <c r="S16" i="3"/>
  <c r="S60" i="3"/>
  <c r="S49" i="3"/>
  <c r="S76" i="3"/>
  <c r="S98" i="3"/>
  <c r="S114" i="3"/>
  <c r="S27" i="3"/>
  <c r="S35" i="3"/>
  <c r="S50" i="3"/>
  <c r="S102" i="3"/>
  <c r="S15" i="3"/>
  <c r="S91" i="3"/>
  <c r="S40" i="3"/>
  <c r="S48" i="3"/>
  <c r="CU6" i="7" l="1"/>
  <c r="CU122" i="6"/>
  <c r="S25" i="3"/>
  <c r="S23" i="3" l="1"/>
  <c r="S33" i="3"/>
  <c r="T117" i="3" l="1"/>
  <c r="T116" i="3"/>
  <c r="T115" i="3"/>
  <c r="T114" i="3"/>
  <c r="T113" i="3"/>
  <c r="T112" i="3"/>
  <c r="T111" i="3"/>
  <c r="T110" i="3"/>
  <c r="T109" i="3"/>
  <c r="T108" i="3"/>
  <c r="T107" i="3"/>
  <c r="T106" i="3"/>
  <c r="T105" i="3"/>
  <c r="T104" i="3"/>
  <c r="T103" i="3"/>
  <c r="T102" i="3"/>
  <c r="T101" i="3"/>
  <c r="T99" i="3"/>
  <c r="T98" i="3"/>
  <c r="T97" i="3"/>
  <c r="T96" i="3"/>
  <c r="T95" i="3"/>
  <c r="T94" i="3"/>
  <c r="T93" i="3"/>
  <c r="T92" i="3"/>
  <c r="T91" i="3"/>
  <c r="T90" i="3"/>
  <c r="T89" i="3"/>
  <c r="T88" i="3"/>
  <c r="T87" i="3"/>
  <c r="T86" i="3"/>
  <c r="T84" i="3"/>
  <c r="T83" i="3"/>
  <c r="T82" i="3"/>
  <c r="T81" i="3"/>
  <c r="T80" i="3"/>
  <c r="T79" i="3"/>
  <c r="T78" i="3"/>
  <c r="T77" i="3"/>
  <c r="T76" i="3"/>
  <c r="T75" i="3"/>
  <c r="T74" i="3"/>
  <c r="T73" i="3"/>
  <c r="T72" i="3"/>
  <c r="T71" i="3"/>
  <c r="T69" i="3"/>
  <c r="T68" i="3"/>
  <c r="T67" i="3"/>
  <c r="T66" i="3"/>
  <c r="T65" i="3"/>
  <c r="T64" i="3"/>
  <c r="T63" i="3"/>
  <c r="T62" i="3"/>
  <c r="T61" i="3"/>
  <c r="T60" i="3"/>
  <c r="T59" i="3"/>
  <c r="T58" i="3"/>
  <c r="T57" i="3"/>
  <c r="T56" i="3"/>
  <c r="T55" i="3"/>
  <c r="T54" i="3"/>
  <c r="T53" i="3"/>
  <c r="T52" i="3"/>
  <c r="T51" i="3"/>
  <c r="T50" i="3"/>
  <c r="T49" i="3"/>
  <c r="T48" i="3"/>
  <c r="T47" i="3"/>
  <c r="T46" i="3"/>
  <c r="T45" i="3"/>
  <c r="T44" i="3"/>
  <c r="T43" i="3"/>
  <c r="T42" i="3"/>
  <c r="T41" i="3"/>
  <c r="T40" i="3"/>
  <c r="T39" i="3"/>
  <c r="T38" i="3"/>
  <c r="T37" i="3"/>
  <c r="T36" i="3"/>
  <c r="T35" i="3"/>
  <c r="T33" i="3"/>
  <c r="T32" i="3"/>
  <c r="T31" i="3"/>
  <c r="T30" i="3"/>
  <c r="T29" i="3"/>
  <c r="T28" i="3"/>
  <c r="T27" i="3"/>
  <c r="T26" i="3"/>
  <c r="T25" i="3"/>
  <c r="T24" i="3"/>
  <c r="T23" i="3"/>
  <c r="T22" i="3"/>
  <c r="T21" i="3"/>
  <c r="T20" i="3"/>
  <c r="T19" i="3"/>
  <c r="T18" i="3"/>
  <c r="T17" i="3"/>
  <c r="T16" i="3"/>
  <c r="T15" i="3"/>
  <c r="T14" i="3"/>
  <c r="T13" i="3"/>
  <c r="T12" i="3"/>
  <c r="T11" i="3"/>
  <c r="T10" i="3"/>
  <c r="T9" i="3"/>
  <c r="T8" i="3"/>
  <c r="T7" i="3"/>
  <c r="T6" i="3"/>
  <c r="T5" i="3"/>
  <c r="T4" i="3"/>
  <c r="T3" i="3"/>
  <c r="T2" i="3"/>
  <c r="AS118" i="5" l="1"/>
  <c r="S117" i="3"/>
  <c r="S116" i="3"/>
  <c r="S92" i="3"/>
  <c r="S88" i="3"/>
  <c r="S87" i="3"/>
  <c r="S86" i="3"/>
  <c r="S80" i="3"/>
  <c r="S69" i="3"/>
  <c r="S62" i="3"/>
  <c r="S31" i="3"/>
  <c r="S30" i="3"/>
  <c r="S26" i="3"/>
  <c r="S11" i="3"/>
  <c r="S8" i="3"/>
  <c r="S6" i="3"/>
  <c r="S5" i="3"/>
  <c r="S4" i="3"/>
  <c r="J92" i="3"/>
  <c r="H117" i="3"/>
  <c r="H114" i="3"/>
  <c r="H111" i="3"/>
  <c r="H107" i="3"/>
  <c r="H98" i="3"/>
  <c r="H97" i="3"/>
  <c r="H96" i="3"/>
  <c r="H86" i="3"/>
  <c r="H81" i="3"/>
  <c r="H80" i="3"/>
  <c r="H77" i="3"/>
  <c r="H74" i="3"/>
  <c r="H72" i="3"/>
  <c r="H68" i="3"/>
  <c r="H69" i="3"/>
  <c r="H64" i="3"/>
  <c r="H63" i="3"/>
  <c r="H62" i="3"/>
  <c r="H60" i="3"/>
  <c r="H55" i="3"/>
  <c r="H50" i="3"/>
  <c r="H49" i="3"/>
  <c r="H48" i="3"/>
  <c r="H42" i="3"/>
  <c r="H35" i="3"/>
  <c r="H33" i="3"/>
  <c r="H31" i="3"/>
  <c r="H26" i="3"/>
  <c r="H23" i="3"/>
  <c r="H21" i="3"/>
  <c r="H16" i="3"/>
  <c r="H15" i="3"/>
  <c r="H14" i="3"/>
  <c r="H11" i="3"/>
  <c r="H8" i="3"/>
  <c r="H4" i="3"/>
  <c r="S115" i="3" l="1"/>
  <c r="S113" i="3"/>
  <c r="S112" i="3"/>
  <c r="S110" i="3"/>
  <c r="S109" i="3"/>
  <c r="S108" i="3"/>
  <c r="S107" i="3"/>
  <c r="S106" i="3"/>
  <c r="S105" i="3"/>
  <c r="S104" i="3"/>
  <c r="S103" i="3"/>
  <c r="S101" i="3"/>
  <c r="S99" i="3"/>
  <c r="S97" i="3"/>
  <c r="S96" i="3"/>
  <c r="S95" i="3"/>
  <c r="S94" i="3"/>
  <c r="S90" i="3"/>
  <c r="S89" i="3"/>
  <c r="S84" i="3"/>
  <c r="S83" i="3"/>
  <c r="S82" i="3"/>
  <c r="S81" i="3"/>
  <c r="S79" i="3"/>
  <c r="S78" i="3"/>
  <c r="S77" i="3"/>
  <c r="S75" i="3"/>
  <c r="S74" i="3"/>
  <c r="S73" i="3"/>
  <c r="S72" i="3"/>
  <c r="S71" i="3"/>
  <c r="S67" i="3"/>
  <c r="S66" i="3"/>
  <c r="S65" i="3"/>
  <c r="S64" i="3"/>
  <c r="S61" i="3"/>
  <c r="S59" i="3"/>
  <c r="S58" i="3"/>
  <c r="S57" i="3"/>
  <c r="S56" i="3"/>
  <c r="S54" i="3"/>
  <c r="S53" i="3"/>
  <c r="S51" i="3"/>
  <c r="S47" i="3"/>
  <c r="S46" i="3"/>
  <c r="S44" i="3"/>
  <c r="S43" i="3"/>
  <c r="S42" i="3"/>
  <c r="S41" i="3"/>
  <c r="S38" i="3"/>
  <c r="S37" i="3"/>
  <c r="S36" i="3"/>
  <c r="S32" i="3"/>
  <c r="S29" i="3"/>
  <c r="S28" i="3"/>
  <c r="S24" i="3"/>
  <c r="S21" i="3"/>
  <c r="S20" i="3"/>
  <c r="S19" i="3"/>
  <c r="S18" i="3"/>
  <c r="S17" i="3"/>
  <c r="S14" i="3"/>
  <c r="S13" i="3"/>
  <c r="S12" i="3"/>
  <c r="S10" i="3"/>
  <c r="S9" i="3"/>
  <c r="S7" i="3"/>
  <c r="S3" i="3"/>
  <c r="F93" i="3"/>
  <c r="S2" i="3"/>
  <c r="F52" i="3" l="1"/>
  <c r="S52" i="3"/>
  <c r="F60" i="3"/>
  <c r="F114" i="3"/>
  <c r="F111" i="3"/>
  <c r="F68" i="3"/>
  <c r="F10" i="3"/>
  <c r="F28" i="3"/>
  <c r="F6" i="3"/>
  <c r="F8" i="3"/>
  <c r="F102" i="3"/>
  <c r="F110" i="3"/>
  <c r="F3" i="3"/>
  <c r="F5" i="3"/>
  <c r="F7" i="3"/>
  <c r="F9" i="3"/>
  <c r="F11" i="3"/>
  <c r="F71" i="3"/>
  <c r="F73" i="3"/>
  <c r="F75" i="3"/>
  <c r="F77" i="3"/>
  <c r="F79" i="3"/>
  <c r="F81" i="3"/>
  <c r="F83" i="3"/>
  <c r="F85" i="3"/>
  <c r="F87" i="3"/>
  <c r="F89" i="3"/>
  <c r="F91" i="3"/>
  <c r="F36" i="3"/>
  <c r="F44" i="3"/>
  <c r="F94" i="3"/>
  <c r="F96" i="3"/>
  <c r="F98" i="3"/>
  <c r="F101" i="3"/>
  <c r="F103" i="3"/>
  <c r="F105" i="3"/>
  <c r="F107" i="3"/>
  <c r="F109" i="3"/>
  <c r="F113" i="3"/>
  <c r="F12" i="3"/>
  <c r="F14" i="3"/>
  <c r="F16" i="3"/>
  <c r="F18" i="3"/>
  <c r="F20" i="3"/>
  <c r="F22" i="3"/>
  <c r="F24" i="3"/>
  <c r="F72" i="3"/>
  <c r="F74" i="3"/>
  <c r="F76" i="3"/>
  <c r="F78" i="3"/>
  <c r="F80" i="3"/>
  <c r="F82" i="3"/>
  <c r="F84" i="3"/>
  <c r="F86" i="3"/>
  <c r="F88" i="3"/>
  <c r="F90" i="3"/>
  <c r="F92" i="3"/>
  <c r="F37" i="3"/>
  <c r="F49" i="3"/>
  <c r="F59" i="3"/>
  <c r="F69" i="3"/>
  <c r="F106" i="3"/>
  <c r="F116" i="3"/>
  <c r="F33" i="3"/>
  <c r="F2" i="3"/>
  <c r="F13" i="3"/>
  <c r="F15" i="3"/>
  <c r="F17" i="3"/>
  <c r="F19" i="3"/>
  <c r="F21" i="3"/>
  <c r="F23" i="3"/>
  <c r="F25" i="3"/>
  <c r="F43" i="3"/>
  <c r="F53" i="3"/>
  <c r="F63" i="3"/>
  <c r="F97" i="3"/>
  <c r="F108" i="3"/>
  <c r="F31" i="3"/>
  <c r="F35" i="3"/>
  <c r="F45" i="3"/>
  <c r="F55" i="3"/>
  <c r="F67" i="3"/>
  <c r="F99" i="3"/>
  <c r="F38" i="3"/>
  <c r="F40" i="3"/>
  <c r="F42" i="3"/>
  <c r="F46" i="3"/>
  <c r="F48" i="3"/>
  <c r="F50" i="3"/>
  <c r="F54" i="3"/>
  <c r="F56" i="3"/>
  <c r="F58" i="3"/>
  <c r="F62" i="3"/>
  <c r="F64" i="3"/>
  <c r="F66" i="3"/>
  <c r="F115" i="3"/>
  <c r="F117" i="3"/>
  <c r="F39" i="3"/>
  <c r="F51" i="3"/>
  <c r="F61" i="3"/>
  <c r="F29" i="3"/>
  <c r="F26" i="3"/>
  <c r="F30" i="3"/>
  <c r="F32" i="3"/>
  <c r="F34" i="3"/>
  <c r="F41" i="3"/>
  <c r="F47" i="3"/>
  <c r="F57" i="3"/>
  <c r="F65" i="3"/>
  <c r="F95" i="3"/>
  <c r="F104" i="3"/>
  <c r="F112" i="3"/>
  <c r="F27" i="3"/>
  <c r="F4" i="3"/>
  <c r="B25" i="2"/>
  <c r="CT119" i="6"/>
  <c r="CT119" i="7" s="1"/>
  <c r="CT118" i="6"/>
  <c r="CT118" i="7" s="1"/>
  <c r="CT117" i="6"/>
  <c r="CT117" i="7" s="1"/>
  <c r="CT116" i="6"/>
  <c r="CT116" i="7" s="1"/>
  <c r="CT115" i="6"/>
  <c r="CT115" i="7" s="1"/>
  <c r="CT114" i="6"/>
  <c r="CT114" i="7" s="1"/>
  <c r="CT113" i="6"/>
  <c r="CT113" i="7" s="1"/>
  <c r="CT112" i="6"/>
  <c r="CT112" i="7" s="1"/>
  <c r="CT111" i="6"/>
  <c r="CT111" i="7" s="1"/>
  <c r="CT110" i="6"/>
  <c r="CT110" i="7" s="1"/>
  <c r="CT109" i="6"/>
  <c r="CT109" i="7" s="1"/>
  <c r="CT108" i="6"/>
  <c r="CT108" i="7" s="1"/>
  <c r="CT107" i="6"/>
  <c r="CT107" i="7" s="1"/>
  <c r="CT105" i="6"/>
  <c r="CT105" i="7" s="1"/>
  <c r="CT104" i="6"/>
  <c r="CT104" i="7" s="1"/>
  <c r="CT103" i="6"/>
  <c r="CT103" i="7" s="1"/>
  <c r="CT101" i="6"/>
  <c r="CT101" i="7" s="1"/>
  <c r="CT100" i="6"/>
  <c r="CT100" i="7" s="1"/>
  <c r="CT99" i="6"/>
  <c r="CT99" i="7" s="1"/>
  <c r="CT98" i="6"/>
  <c r="CT98" i="7" s="1"/>
  <c r="CT97" i="6"/>
  <c r="CT97" i="7" s="1"/>
  <c r="CT95" i="6"/>
  <c r="CT95" i="7" s="1"/>
  <c r="CT94" i="6"/>
  <c r="CT94" i="7" s="1"/>
  <c r="CT93" i="6"/>
  <c r="CT93" i="7" s="1"/>
  <c r="CT88" i="6"/>
  <c r="CT88" i="7" s="1"/>
  <c r="CT87" i="6"/>
  <c r="CT87" i="7" s="1"/>
  <c r="CT86" i="6"/>
  <c r="CT86" i="7" s="1"/>
  <c r="CT85" i="6"/>
  <c r="CT85" i="7" s="1"/>
  <c r="CT83" i="6"/>
  <c r="CT83" i="7" s="1"/>
  <c r="CT82" i="6"/>
  <c r="CT82" i="7" s="1"/>
  <c r="CT81" i="6"/>
  <c r="CT81" i="7" s="1"/>
  <c r="CT80" i="6"/>
  <c r="CT80" i="7" s="1"/>
  <c r="CT79" i="6"/>
  <c r="CT79" i="7" s="1"/>
  <c r="CT78" i="6"/>
  <c r="CT78" i="7" s="1"/>
  <c r="CT77" i="6"/>
  <c r="CT77" i="7" s="1"/>
  <c r="CT76" i="6"/>
  <c r="CT76" i="7" s="1"/>
  <c r="CT75" i="6"/>
  <c r="CT75" i="7" s="1"/>
  <c r="CT74" i="6"/>
  <c r="CT74" i="7" s="1"/>
  <c r="CT71" i="6"/>
  <c r="CT71" i="7" s="1"/>
  <c r="CT70" i="6"/>
  <c r="CT70" i="7" s="1"/>
  <c r="CT69" i="6"/>
  <c r="CT69" i="7" s="1"/>
  <c r="CT68" i="6"/>
  <c r="CT68" i="7" s="1"/>
  <c r="CT65" i="6"/>
  <c r="CT65" i="7" s="1"/>
  <c r="CT64" i="6"/>
  <c r="CT64" i="7" s="1"/>
  <c r="CT63" i="6"/>
  <c r="CT63" i="7" s="1"/>
  <c r="CT62" i="6"/>
  <c r="CT62" i="7" s="1"/>
  <c r="CT61" i="6"/>
  <c r="CT61" i="7" s="1"/>
  <c r="CT60" i="6"/>
  <c r="CT60" i="7" s="1"/>
  <c r="CT58" i="6"/>
  <c r="CT58" i="7" s="1"/>
  <c r="CT57" i="6"/>
  <c r="CT57" i="7" s="1"/>
  <c r="CT56" i="6"/>
  <c r="CT56" i="7" s="1"/>
  <c r="CT55" i="6"/>
  <c r="CT55" i="7" s="1"/>
  <c r="CT51" i="6"/>
  <c r="CT51" i="7" s="1"/>
  <c r="CT50" i="6"/>
  <c r="CT50" i="7" s="1"/>
  <c r="CT48" i="6"/>
  <c r="CT48" i="7" s="1"/>
  <c r="CT47" i="6"/>
  <c r="CT47" i="7" s="1"/>
  <c r="CT46" i="6"/>
  <c r="CT46" i="7" s="1"/>
  <c r="CT45" i="6"/>
  <c r="CT45" i="7" s="1"/>
  <c r="CT42" i="6"/>
  <c r="CT42" i="7" s="1"/>
  <c r="CT41" i="6"/>
  <c r="CT41" i="7" s="1"/>
  <c r="CT40" i="6"/>
  <c r="CT40" i="7" s="1"/>
  <c r="CT39" i="6"/>
  <c r="CT39" i="7" s="1"/>
  <c r="CT36" i="6"/>
  <c r="CT36" i="7" s="1"/>
  <c r="CT33" i="6"/>
  <c r="CT33" i="7" s="1"/>
  <c r="CT32" i="6"/>
  <c r="CT32" i="7" s="1"/>
  <c r="CT28" i="6"/>
  <c r="CT28" i="7" s="1"/>
  <c r="CT26" i="6"/>
  <c r="CT26" i="7" s="1"/>
  <c r="CT25" i="6"/>
  <c r="CT25" i="7" s="1"/>
  <c r="CT24" i="6"/>
  <c r="CT24" i="7" s="1"/>
  <c r="CT23" i="6"/>
  <c r="CT23" i="7" s="1"/>
  <c r="CT22" i="6"/>
  <c r="CT22" i="7" s="1"/>
  <c r="CT21" i="6"/>
  <c r="CT21" i="7" s="1"/>
  <c r="CT20" i="6"/>
  <c r="CT20" i="7" s="1"/>
  <c r="CT18" i="6"/>
  <c r="CT18" i="7" s="1"/>
  <c r="CT17" i="6"/>
  <c r="CT17" i="7" s="1"/>
  <c r="CT16" i="6"/>
  <c r="CT16" i="7" s="1"/>
  <c r="CT14" i="6"/>
  <c r="CT14" i="7" s="1"/>
  <c r="CT13" i="6"/>
  <c r="CT13" i="7" s="1"/>
  <c r="CT11" i="6"/>
  <c r="CT11" i="7" s="1"/>
  <c r="CT7" i="6"/>
  <c r="CT7" i="7" s="1"/>
  <c r="CT6" i="6"/>
  <c r="CT6" i="7" l="1"/>
  <c r="CT122" i="6"/>
  <c r="H51" i="6"/>
  <c r="H59" i="6"/>
  <c r="H91" i="6"/>
  <c r="H107" i="6"/>
  <c r="H115" i="6"/>
  <c r="H15" i="6"/>
  <c r="H43" i="6"/>
  <c r="H27" i="6"/>
  <c r="H35" i="6"/>
  <c r="F122" i="6"/>
  <c r="H11" i="6"/>
  <c r="H23" i="6"/>
  <c r="H19" i="6"/>
  <c r="H7" i="6"/>
  <c r="N3" i="3" s="1"/>
  <c r="H31" i="6"/>
  <c r="H8" i="6"/>
  <c r="H12" i="6"/>
  <c r="H16" i="6"/>
  <c r="H20" i="6"/>
  <c r="H28" i="6"/>
  <c r="H36" i="6"/>
  <c r="H44" i="6"/>
  <c r="H52" i="6"/>
  <c r="H60" i="6"/>
  <c r="H68" i="6"/>
  <c r="H76" i="6"/>
  <c r="H84" i="6"/>
  <c r="H92" i="6"/>
  <c r="H108" i="6"/>
  <c r="H116" i="6"/>
  <c r="H69" i="6"/>
  <c r="H85" i="6"/>
  <c r="H93" i="6"/>
  <c r="H101" i="6"/>
  <c r="H109" i="6"/>
  <c r="H117" i="6"/>
  <c r="H67" i="6"/>
  <c r="H75" i="6"/>
  <c r="H83" i="6"/>
  <c r="H99" i="6"/>
  <c r="H100" i="6"/>
  <c r="H63" i="6"/>
  <c r="H62" i="6"/>
  <c r="H66" i="6"/>
  <c r="H17" i="6"/>
  <c r="H56" i="6"/>
  <c r="H119" i="6"/>
  <c r="H10" i="6"/>
  <c r="H18" i="6"/>
  <c r="H45" i="6"/>
  <c r="H49" i="6"/>
  <c r="H24" i="6"/>
  <c r="H110" i="6"/>
  <c r="H114" i="6"/>
  <c r="H38" i="6"/>
  <c r="H42" i="6"/>
  <c r="H80" i="6"/>
  <c r="H88" i="6"/>
  <c r="H96" i="6"/>
  <c r="H104" i="6"/>
  <c r="H13" i="6"/>
  <c r="H73" i="6"/>
  <c r="H77" i="6"/>
  <c r="H81" i="6"/>
  <c r="H97" i="6"/>
  <c r="H113" i="6"/>
  <c r="G122" i="6"/>
  <c r="H70" i="6"/>
  <c r="H74" i="6"/>
  <c r="H86" i="6"/>
  <c r="H90" i="6"/>
  <c r="H118" i="6"/>
  <c r="H87" i="6"/>
  <c r="H103" i="6"/>
  <c r="H9" i="6"/>
  <c r="H95" i="6"/>
  <c r="H102" i="6"/>
  <c r="H106" i="6"/>
  <c r="H121" i="6"/>
  <c r="H14" i="6"/>
  <c r="H21" i="6"/>
  <c r="H25" i="6"/>
  <c r="H32" i="6"/>
  <c r="H39" i="6"/>
  <c r="H46" i="6"/>
  <c r="H50" i="6"/>
  <c r="H53" i="6"/>
  <c r="H57" i="6"/>
  <c r="H64" i="6"/>
  <c r="H71" i="6"/>
  <c r="H78" i="6"/>
  <c r="H82" i="6"/>
  <c r="H89" i="6"/>
  <c r="H111" i="6"/>
  <c r="H6" i="6"/>
  <c r="N2" i="3" s="1"/>
  <c r="H22" i="6"/>
  <c r="H26" i="6"/>
  <c r="H29" i="6"/>
  <c r="H33" i="6"/>
  <c r="H40" i="6"/>
  <c r="H47" i="6"/>
  <c r="H54" i="6"/>
  <c r="H58" i="6"/>
  <c r="H61" i="6"/>
  <c r="H65" i="6"/>
  <c r="H72" i="6"/>
  <c r="H79" i="6"/>
  <c r="H112" i="6"/>
  <c r="H94" i="6"/>
  <c r="H98" i="6"/>
  <c r="H105" i="6"/>
  <c r="H120" i="6"/>
  <c r="H30" i="6"/>
  <c r="H34" i="6"/>
  <c r="H37" i="6"/>
  <c r="H41" i="6"/>
  <c r="H48" i="6"/>
  <c r="H55" i="6"/>
  <c r="CP121" i="6"/>
  <c r="CP121" i="7" s="1"/>
  <c r="CP120" i="6"/>
  <c r="CP120" i="7" s="1"/>
  <c r="CP96" i="6"/>
  <c r="CP96" i="7" s="1"/>
  <c r="CP92" i="6"/>
  <c r="CP92" i="7" s="1"/>
  <c r="CP91" i="6"/>
  <c r="CP91" i="7" s="1"/>
  <c r="CP90" i="6"/>
  <c r="CP90" i="7" s="1"/>
  <c r="CP84" i="6"/>
  <c r="CP84" i="7" s="1"/>
  <c r="CP73" i="6"/>
  <c r="CP73" i="7" s="1"/>
  <c r="CP66" i="6"/>
  <c r="CP66" i="7" s="1"/>
  <c r="CP38" i="6"/>
  <c r="CP38" i="7" s="1"/>
  <c r="CP35" i="6"/>
  <c r="CP35" i="7" s="1"/>
  <c r="CP34" i="6"/>
  <c r="CP34" i="7" s="1"/>
  <c r="CP30" i="6"/>
  <c r="CP30" i="7" s="1"/>
  <c r="CP29" i="6"/>
  <c r="CP29" i="7" s="1"/>
  <c r="CP27" i="6"/>
  <c r="CP27" i="7" s="1"/>
  <c r="CP15" i="6"/>
  <c r="CP15" i="7" s="1"/>
  <c r="CP12" i="6"/>
  <c r="CP12" i="7" s="1"/>
  <c r="CP10" i="6"/>
  <c r="CP10" i="7" s="1"/>
  <c r="CP9" i="6"/>
  <c r="CP9" i="7" s="1"/>
  <c r="CP8" i="6"/>
  <c r="CO121" i="6"/>
  <c r="CO121" i="7" s="1"/>
  <c r="CO120" i="6"/>
  <c r="CO120" i="7" s="1"/>
  <c r="CO96" i="6"/>
  <c r="CO96" i="7" s="1"/>
  <c r="CO92" i="6"/>
  <c r="CO92" i="7" s="1"/>
  <c r="CO91" i="6"/>
  <c r="CO91" i="7" s="1"/>
  <c r="CO90" i="6"/>
  <c r="CO90" i="7" s="1"/>
  <c r="CO84" i="6"/>
  <c r="CO84" i="7" s="1"/>
  <c r="CO73" i="6"/>
  <c r="CO73" i="7" s="1"/>
  <c r="CO66" i="6"/>
  <c r="CO66" i="7" s="1"/>
  <c r="CO38" i="6"/>
  <c r="CO38" i="7" s="1"/>
  <c r="CO35" i="6"/>
  <c r="CO35" i="7" s="1"/>
  <c r="CO34" i="6"/>
  <c r="CO34" i="7" s="1"/>
  <c r="CO30" i="6"/>
  <c r="CO30" i="7" s="1"/>
  <c r="CO29" i="6"/>
  <c r="CO29" i="7" s="1"/>
  <c r="CO27" i="6"/>
  <c r="CO27" i="7" s="1"/>
  <c r="CO15" i="6"/>
  <c r="CO15" i="7" s="1"/>
  <c r="CO12" i="6"/>
  <c r="CO12" i="7" s="1"/>
  <c r="CO10" i="6"/>
  <c r="CO10" i="7" s="1"/>
  <c r="CO9" i="6"/>
  <c r="CO9" i="7" s="1"/>
  <c r="CO8" i="6"/>
  <c r="AC122" i="5"/>
  <c r="X122" i="5"/>
  <c r="W122" i="5"/>
  <c r="V122" i="5"/>
  <c r="U122" i="5"/>
  <c r="CG121" i="1"/>
  <c r="CG120" i="1"/>
  <c r="CG114" i="1"/>
  <c r="CG111" i="1"/>
  <c r="CG106" i="1"/>
  <c r="CG105" i="1"/>
  <c r="CG99" i="1"/>
  <c r="CG97" i="1"/>
  <c r="CG96" i="1"/>
  <c r="CG95" i="1"/>
  <c r="CG84" i="1"/>
  <c r="CG80" i="1"/>
  <c r="CG78" i="1"/>
  <c r="CG77" i="1"/>
  <c r="CG73" i="1"/>
  <c r="CG72" i="1"/>
  <c r="CG71" i="1"/>
  <c r="CG69" i="1"/>
  <c r="CG67" i="1"/>
  <c r="CG65" i="1"/>
  <c r="CG60" i="1"/>
  <c r="CG56" i="1"/>
  <c r="CG54" i="1"/>
  <c r="CG53" i="1"/>
  <c r="CG51" i="1"/>
  <c r="CG49" i="1"/>
  <c r="CG48" i="1"/>
  <c r="CG45" i="1"/>
  <c r="CG43" i="1"/>
  <c r="CG42" i="1"/>
  <c r="CG38" i="1"/>
  <c r="CG36" i="1"/>
  <c r="CG35" i="1"/>
  <c r="CG34" i="1"/>
  <c r="CG32" i="1"/>
  <c r="CG31" i="1"/>
  <c r="CG30" i="1"/>
  <c r="CG29" i="1"/>
  <c r="CG27" i="1"/>
  <c r="CG26" i="1"/>
  <c r="CG21" i="1"/>
  <c r="CG19" i="1"/>
  <c r="CG17" i="1"/>
  <c r="CG15" i="1"/>
  <c r="CG12" i="1"/>
  <c r="CG9" i="1"/>
  <c r="CG8" i="1"/>
  <c r="EI122" i="6"/>
  <c r="EH122" i="6"/>
  <c r="DH122" i="6"/>
  <c r="BC62" i="5"/>
  <c r="CL121" i="6"/>
  <c r="CL120" i="6"/>
  <c r="CL119" i="6"/>
  <c r="CL118" i="6"/>
  <c r="CL117" i="6"/>
  <c r="CL116" i="6"/>
  <c r="CL115" i="6"/>
  <c r="CL114" i="6"/>
  <c r="CL113" i="6"/>
  <c r="CL112" i="6"/>
  <c r="CL111" i="6"/>
  <c r="CL110" i="6"/>
  <c r="CL107" i="6"/>
  <c r="CL106" i="6"/>
  <c r="CL105" i="6"/>
  <c r="CL103" i="6"/>
  <c r="CL102" i="6"/>
  <c r="CL99" i="6"/>
  <c r="CL98" i="6"/>
  <c r="CL97" i="6"/>
  <c r="CL96" i="6"/>
  <c r="CL95" i="6"/>
  <c r="CL92" i="6"/>
  <c r="CL91" i="6"/>
  <c r="CL90" i="6"/>
  <c r="CL88" i="6"/>
  <c r="CL87" i="6"/>
  <c r="CL86" i="6"/>
  <c r="CL84" i="6"/>
  <c r="CL82" i="6"/>
  <c r="CL80" i="6"/>
  <c r="CL78" i="6"/>
  <c r="CL77" i="6"/>
  <c r="CL75" i="6"/>
  <c r="CL73" i="6"/>
  <c r="CL72" i="6"/>
  <c r="CL71" i="6"/>
  <c r="CL70" i="6"/>
  <c r="CL69" i="6"/>
  <c r="CL67" i="6"/>
  <c r="CL66" i="6"/>
  <c r="CL65" i="6"/>
  <c r="CL64" i="6"/>
  <c r="CL62" i="6"/>
  <c r="CL61" i="6"/>
  <c r="CL60" i="6"/>
  <c r="CL59" i="6"/>
  <c r="CL57" i="6"/>
  <c r="CL56" i="6"/>
  <c r="CL54" i="6"/>
  <c r="CL53" i="6"/>
  <c r="CL52" i="6"/>
  <c r="CL51" i="6"/>
  <c r="CL50" i="6"/>
  <c r="CL49" i="6"/>
  <c r="CL48" i="6"/>
  <c r="CL45" i="6"/>
  <c r="CL44" i="6"/>
  <c r="CL43" i="6"/>
  <c r="CL42" i="6"/>
  <c r="CL41" i="6"/>
  <c r="CL39" i="6"/>
  <c r="CL38" i="6"/>
  <c r="CL37" i="6"/>
  <c r="CL36" i="6"/>
  <c r="CL35" i="6"/>
  <c r="CL34" i="6"/>
  <c r="CL32" i="6"/>
  <c r="CL31" i="6"/>
  <c r="CL30" i="6"/>
  <c r="CL29" i="6"/>
  <c r="CL27" i="6"/>
  <c r="CL26" i="6"/>
  <c r="CL21" i="6"/>
  <c r="CL20" i="6"/>
  <c r="CL19" i="6"/>
  <c r="CL18" i="6"/>
  <c r="CL17" i="6"/>
  <c r="CL16" i="6"/>
  <c r="CL15" i="6"/>
  <c r="CL14" i="6"/>
  <c r="CL13" i="6"/>
  <c r="CL12" i="6"/>
  <c r="CL11" i="6"/>
  <c r="CL10" i="6"/>
  <c r="CL9" i="6"/>
  <c r="CL8" i="6"/>
  <c r="CL7" i="6"/>
  <c r="DN121" i="5"/>
  <c r="DN120" i="5"/>
  <c r="DN119" i="5"/>
  <c r="DN118" i="5"/>
  <c r="DN117" i="5"/>
  <c r="DN116" i="5"/>
  <c r="DN115" i="5"/>
  <c r="DN114" i="5"/>
  <c r="DN113" i="5"/>
  <c r="DN112" i="5"/>
  <c r="DN111" i="5"/>
  <c r="DN110" i="5"/>
  <c r="DN109" i="5"/>
  <c r="DN108" i="5"/>
  <c r="DN107" i="5"/>
  <c r="DN106" i="5"/>
  <c r="DN105" i="5"/>
  <c r="DN104" i="5"/>
  <c r="DN103" i="5"/>
  <c r="DN102" i="5"/>
  <c r="DN101" i="5"/>
  <c r="DN100" i="5"/>
  <c r="DN99" i="5"/>
  <c r="DN98" i="5"/>
  <c r="DN97" i="5"/>
  <c r="DN96" i="5"/>
  <c r="DN95" i="5"/>
  <c r="DN94" i="5"/>
  <c r="DN93" i="5"/>
  <c r="DN92" i="5"/>
  <c r="DN91" i="5"/>
  <c r="DN90" i="5"/>
  <c r="DN89" i="5"/>
  <c r="DN88" i="5"/>
  <c r="DN87" i="5"/>
  <c r="DN86" i="5"/>
  <c r="DN85" i="5"/>
  <c r="DN84" i="5"/>
  <c r="DN83" i="5"/>
  <c r="DN82" i="5"/>
  <c r="DN81" i="5"/>
  <c r="DN80" i="5"/>
  <c r="DN79" i="5"/>
  <c r="DN78" i="5"/>
  <c r="DN77" i="5"/>
  <c r="DN76" i="5"/>
  <c r="DN75" i="5"/>
  <c r="DN74" i="5"/>
  <c r="DN73" i="5"/>
  <c r="DN72" i="5"/>
  <c r="DN71" i="5"/>
  <c r="DN70" i="5"/>
  <c r="DN69" i="5"/>
  <c r="DN68" i="5"/>
  <c r="DN67" i="5"/>
  <c r="DN66" i="5"/>
  <c r="DN65" i="5"/>
  <c r="DN64" i="5"/>
  <c r="DN63" i="5"/>
  <c r="DN62" i="5"/>
  <c r="DN61" i="5"/>
  <c r="DN60" i="5"/>
  <c r="DN59" i="5"/>
  <c r="DN58" i="5"/>
  <c r="DN57" i="5"/>
  <c r="DN56" i="5"/>
  <c r="DN55" i="5"/>
  <c r="DN54" i="5"/>
  <c r="DN53" i="5"/>
  <c r="DN52" i="5"/>
  <c r="DN51" i="5"/>
  <c r="DN50" i="5"/>
  <c r="DN49" i="5"/>
  <c r="DN48" i="5"/>
  <c r="DN47" i="5"/>
  <c r="DN46" i="5"/>
  <c r="DN45" i="5"/>
  <c r="DN44" i="5"/>
  <c r="DN43" i="5"/>
  <c r="DN42" i="5"/>
  <c r="DN41" i="5"/>
  <c r="DN40" i="5"/>
  <c r="DN39" i="5"/>
  <c r="DN38" i="5"/>
  <c r="DN37" i="5"/>
  <c r="DN36" i="5"/>
  <c r="DN35" i="5"/>
  <c r="DN34" i="5"/>
  <c r="DN33" i="5"/>
  <c r="DN32" i="5"/>
  <c r="DN31" i="5"/>
  <c r="DN30" i="5"/>
  <c r="DN29" i="5"/>
  <c r="DN28" i="5"/>
  <c r="DN27" i="5"/>
  <c r="DN26" i="5"/>
  <c r="DN25" i="5"/>
  <c r="DN24" i="5"/>
  <c r="DN23" i="5"/>
  <c r="DN22" i="5"/>
  <c r="DN21" i="5"/>
  <c r="DN20" i="5"/>
  <c r="DN19" i="5"/>
  <c r="DN18" i="5"/>
  <c r="DN17" i="5"/>
  <c r="DN16" i="5"/>
  <c r="DN15" i="5"/>
  <c r="DN14" i="5"/>
  <c r="DN13" i="5"/>
  <c r="DN12" i="5"/>
  <c r="DN11" i="5"/>
  <c r="DN10" i="5"/>
  <c r="DN9" i="5"/>
  <c r="DN8" i="5"/>
  <c r="DN7" i="5"/>
  <c r="DN6" i="5"/>
  <c r="DK121" i="5"/>
  <c r="DJ121" i="5"/>
  <c r="DK120" i="5"/>
  <c r="DJ120" i="5"/>
  <c r="DK119" i="5"/>
  <c r="DJ119" i="5"/>
  <c r="DK118" i="5"/>
  <c r="DJ118" i="5"/>
  <c r="DK117" i="5"/>
  <c r="DJ117" i="5"/>
  <c r="DK116" i="5"/>
  <c r="DJ116" i="5"/>
  <c r="DK115" i="5"/>
  <c r="DJ115" i="5"/>
  <c r="DK114" i="5"/>
  <c r="DJ114" i="5"/>
  <c r="DK113" i="5"/>
  <c r="DJ113" i="5"/>
  <c r="DK112" i="5"/>
  <c r="DJ112" i="5"/>
  <c r="DK111" i="5"/>
  <c r="DJ111" i="5"/>
  <c r="DK110" i="5"/>
  <c r="DJ110" i="5"/>
  <c r="DK109" i="5"/>
  <c r="DJ109" i="5"/>
  <c r="DK108" i="5"/>
  <c r="DJ108" i="5"/>
  <c r="DK107" i="5"/>
  <c r="DJ107" i="5"/>
  <c r="DK106" i="5"/>
  <c r="DJ106" i="5"/>
  <c r="DK105" i="5"/>
  <c r="DJ105" i="5"/>
  <c r="DK104" i="5"/>
  <c r="DJ104" i="5"/>
  <c r="DK103" i="5"/>
  <c r="DJ103" i="5"/>
  <c r="DK102" i="5"/>
  <c r="DJ102" i="5"/>
  <c r="DK101" i="5"/>
  <c r="DJ101" i="5"/>
  <c r="DK100" i="5"/>
  <c r="DJ100" i="5"/>
  <c r="DK99" i="5"/>
  <c r="DJ99" i="5"/>
  <c r="DK98" i="5"/>
  <c r="DJ98" i="5"/>
  <c r="DK97" i="5"/>
  <c r="DJ97" i="5"/>
  <c r="DK96" i="5"/>
  <c r="DJ96" i="5"/>
  <c r="DK95" i="5"/>
  <c r="DJ95" i="5"/>
  <c r="DK94" i="5"/>
  <c r="DJ94" i="5"/>
  <c r="DK93" i="5"/>
  <c r="DJ93" i="5"/>
  <c r="DK92" i="5"/>
  <c r="DJ92" i="5"/>
  <c r="DK91" i="5"/>
  <c r="DJ91" i="5"/>
  <c r="DK90" i="5"/>
  <c r="DJ90" i="5"/>
  <c r="DK89" i="5"/>
  <c r="DJ89" i="5"/>
  <c r="DK88" i="5"/>
  <c r="DJ88" i="5"/>
  <c r="DK87" i="5"/>
  <c r="DJ87" i="5"/>
  <c r="DK86" i="5"/>
  <c r="DJ86" i="5"/>
  <c r="DK85" i="5"/>
  <c r="DJ85" i="5"/>
  <c r="DK84" i="5"/>
  <c r="DJ84" i="5"/>
  <c r="DK83" i="5"/>
  <c r="DJ83" i="5"/>
  <c r="DK82" i="5"/>
  <c r="DJ82" i="5"/>
  <c r="DK81" i="5"/>
  <c r="DJ81" i="5"/>
  <c r="DK80" i="5"/>
  <c r="DJ80" i="5"/>
  <c r="DK79" i="5"/>
  <c r="DJ79" i="5"/>
  <c r="DK78" i="5"/>
  <c r="DJ78" i="5"/>
  <c r="DK77" i="5"/>
  <c r="DJ77" i="5"/>
  <c r="DK76" i="5"/>
  <c r="DJ76" i="5"/>
  <c r="DK75" i="5"/>
  <c r="DJ75" i="5"/>
  <c r="DK74" i="5"/>
  <c r="DJ74" i="5"/>
  <c r="DK73" i="5"/>
  <c r="DJ73" i="5"/>
  <c r="DK72" i="5"/>
  <c r="DJ72" i="5"/>
  <c r="DK71" i="5"/>
  <c r="DJ71" i="5"/>
  <c r="DK70" i="5"/>
  <c r="DJ70" i="5"/>
  <c r="DK69" i="5"/>
  <c r="DJ69" i="5"/>
  <c r="DK68" i="5"/>
  <c r="DJ68" i="5"/>
  <c r="DK67" i="5"/>
  <c r="DJ67" i="5"/>
  <c r="DK66" i="5"/>
  <c r="DJ66" i="5"/>
  <c r="DK65" i="5"/>
  <c r="DJ65" i="5"/>
  <c r="DK64" i="5"/>
  <c r="DJ64" i="5"/>
  <c r="DK63" i="5"/>
  <c r="DJ63" i="5"/>
  <c r="DK62" i="5"/>
  <c r="DJ62" i="5"/>
  <c r="DK61" i="5"/>
  <c r="DJ61" i="5"/>
  <c r="DK60" i="5"/>
  <c r="DJ60" i="5"/>
  <c r="DK59" i="5"/>
  <c r="DJ59" i="5"/>
  <c r="DK58" i="5"/>
  <c r="DJ58" i="5"/>
  <c r="DK57" i="5"/>
  <c r="DJ57" i="5"/>
  <c r="DK56" i="5"/>
  <c r="DJ56" i="5"/>
  <c r="DK55" i="5"/>
  <c r="DJ55" i="5"/>
  <c r="DK54" i="5"/>
  <c r="DJ54" i="5"/>
  <c r="DK53" i="5"/>
  <c r="DJ53" i="5"/>
  <c r="DK52" i="5"/>
  <c r="DJ52" i="5"/>
  <c r="DK51" i="5"/>
  <c r="DJ51" i="5"/>
  <c r="DK50" i="5"/>
  <c r="DJ50" i="5"/>
  <c r="DK49" i="5"/>
  <c r="DJ49" i="5"/>
  <c r="DK48" i="5"/>
  <c r="DJ48" i="5"/>
  <c r="DK47" i="5"/>
  <c r="DJ47" i="5"/>
  <c r="DK46" i="5"/>
  <c r="DJ46" i="5"/>
  <c r="DK45" i="5"/>
  <c r="DJ45" i="5"/>
  <c r="DK44" i="5"/>
  <c r="DJ44" i="5"/>
  <c r="DK43" i="5"/>
  <c r="DJ43" i="5"/>
  <c r="DK42" i="5"/>
  <c r="DJ42" i="5"/>
  <c r="DK41" i="5"/>
  <c r="DJ41" i="5"/>
  <c r="DK40" i="5"/>
  <c r="DJ40" i="5"/>
  <c r="DK39" i="5"/>
  <c r="DJ39" i="5"/>
  <c r="DK38" i="5"/>
  <c r="DJ38" i="5"/>
  <c r="DK37" i="5"/>
  <c r="DJ37" i="5"/>
  <c r="DK36" i="5"/>
  <c r="DJ36" i="5"/>
  <c r="DK35" i="5"/>
  <c r="DJ35" i="5"/>
  <c r="DK34" i="5"/>
  <c r="DJ34" i="5"/>
  <c r="DK33" i="5"/>
  <c r="DJ33" i="5"/>
  <c r="DK32" i="5"/>
  <c r="DJ32" i="5"/>
  <c r="DK31" i="5"/>
  <c r="DJ31" i="5"/>
  <c r="DK30" i="5"/>
  <c r="DJ30" i="5"/>
  <c r="DK29" i="5"/>
  <c r="DJ29" i="5"/>
  <c r="DK28" i="5"/>
  <c r="DJ28" i="5"/>
  <c r="DK27" i="5"/>
  <c r="DJ27" i="5"/>
  <c r="DK26" i="5"/>
  <c r="DJ26" i="5"/>
  <c r="DK25" i="5"/>
  <c r="DJ25" i="5"/>
  <c r="DK24" i="5"/>
  <c r="DJ24" i="5"/>
  <c r="DK23" i="5"/>
  <c r="DJ23" i="5"/>
  <c r="DK22" i="5"/>
  <c r="DJ22" i="5"/>
  <c r="DK21" i="5"/>
  <c r="DJ21" i="5"/>
  <c r="DK20" i="5"/>
  <c r="DJ20" i="5"/>
  <c r="DK19" i="5"/>
  <c r="DJ19" i="5"/>
  <c r="DK18" i="5"/>
  <c r="DJ18" i="5"/>
  <c r="DK17" i="5"/>
  <c r="DJ17" i="5"/>
  <c r="DK16" i="5"/>
  <c r="DJ16" i="5"/>
  <c r="DK15" i="5"/>
  <c r="DJ15" i="5"/>
  <c r="DK14" i="5"/>
  <c r="DJ14" i="5"/>
  <c r="DK13" i="5"/>
  <c r="DJ13" i="5"/>
  <c r="DK12" i="5"/>
  <c r="DJ12" i="5"/>
  <c r="DK11" i="5"/>
  <c r="DJ11" i="5"/>
  <c r="DK10" i="5"/>
  <c r="DJ10" i="5"/>
  <c r="DK9" i="5"/>
  <c r="DJ9" i="5"/>
  <c r="DK8" i="5"/>
  <c r="DJ8" i="5"/>
  <c r="DK7" i="5"/>
  <c r="DJ7" i="5"/>
  <c r="DK6" i="5"/>
  <c r="DJ6" i="5"/>
  <c r="DG6" i="5"/>
  <c r="DG7" i="5"/>
  <c r="DG8" i="5"/>
  <c r="DG9" i="5"/>
  <c r="DG10" i="5"/>
  <c r="DG11" i="5"/>
  <c r="DG12" i="5"/>
  <c r="DG13" i="5"/>
  <c r="DG14" i="5"/>
  <c r="DG15" i="5"/>
  <c r="DG16" i="5"/>
  <c r="DG17" i="5"/>
  <c r="DG18" i="5"/>
  <c r="DG19" i="5"/>
  <c r="DG20" i="5"/>
  <c r="DG21" i="5"/>
  <c r="DG22" i="5"/>
  <c r="DG23" i="5"/>
  <c r="DG24" i="5"/>
  <c r="DG25" i="5"/>
  <c r="DG26" i="5"/>
  <c r="DG27" i="5"/>
  <c r="DG28" i="5"/>
  <c r="DG29" i="5"/>
  <c r="DG30" i="5"/>
  <c r="DG31" i="5"/>
  <c r="DG32" i="5"/>
  <c r="DG33" i="5"/>
  <c r="DG34" i="5"/>
  <c r="DG35" i="5"/>
  <c r="DG36" i="5"/>
  <c r="DG37" i="5"/>
  <c r="DG38" i="5"/>
  <c r="DG39" i="5"/>
  <c r="DG40" i="5"/>
  <c r="DG41" i="5"/>
  <c r="DG42" i="5"/>
  <c r="DG43" i="5"/>
  <c r="DG44" i="5"/>
  <c r="DG45" i="5"/>
  <c r="DG46" i="5"/>
  <c r="DG47" i="5"/>
  <c r="DG48" i="5"/>
  <c r="DG49" i="5"/>
  <c r="DG50" i="5"/>
  <c r="DG51" i="5"/>
  <c r="DG52" i="5"/>
  <c r="DG53" i="5"/>
  <c r="DG54" i="5"/>
  <c r="DG55" i="5"/>
  <c r="DG56" i="5"/>
  <c r="DG57" i="5"/>
  <c r="DG58" i="5"/>
  <c r="DG59" i="5"/>
  <c r="DG60" i="5"/>
  <c r="DG61" i="5"/>
  <c r="DG62" i="5"/>
  <c r="DG63" i="5"/>
  <c r="DG64" i="5"/>
  <c r="DG65" i="5"/>
  <c r="DG66" i="5"/>
  <c r="DG67" i="5"/>
  <c r="DG68" i="5"/>
  <c r="DG69" i="5"/>
  <c r="DG70" i="5"/>
  <c r="DG71" i="5"/>
  <c r="DG72" i="5"/>
  <c r="DG73" i="5"/>
  <c r="DG74" i="5"/>
  <c r="DG75" i="5"/>
  <c r="DG76" i="5"/>
  <c r="DG77" i="5"/>
  <c r="DG78" i="5"/>
  <c r="DG79" i="5"/>
  <c r="DG80" i="5"/>
  <c r="DG81" i="5"/>
  <c r="DG82" i="5"/>
  <c r="DG83" i="5"/>
  <c r="DG84" i="5"/>
  <c r="DG85" i="5"/>
  <c r="DG86" i="5"/>
  <c r="DG87" i="5"/>
  <c r="DG88" i="5"/>
  <c r="DG89" i="5"/>
  <c r="DG90" i="5"/>
  <c r="DG91" i="5"/>
  <c r="DG92" i="5"/>
  <c r="DG93" i="5"/>
  <c r="DG94" i="5"/>
  <c r="DG95" i="5"/>
  <c r="DG96" i="5"/>
  <c r="DG97" i="5"/>
  <c r="DG98" i="5"/>
  <c r="DG99" i="5"/>
  <c r="DG100" i="5"/>
  <c r="DG101" i="5"/>
  <c r="DG102" i="5"/>
  <c r="DG103" i="5"/>
  <c r="DG104" i="5"/>
  <c r="DG105" i="5"/>
  <c r="DG106" i="5"/>
  <c r="DG107" i="5"/>
  <c r="DG108" i="5"/>
  <c r="DG109" i="5"/>
  <c r="DG110" i="5"/>
  <c r="DG111" i="5"/>
  <c r="DG112" i="5"/>
  <c r="DG113" i="5"/>
  <c r="DG114" i="5"/>
  <c r="DG115" i="5"/>
  <c r="DG116" i="5"/>
  <c r="DG117" i="5"/>
  <c r="DG118" i="5"/>
  <c r="DG119" i="5"/>
  <c r="DG120" i="5"/>
  <c r="DG121" i="5"/>
  <c r="DI121" i="5"/>
  <c r="DF121" i="5"/>
  <c r="BW121" i="5"/>
  <c r="BV121" i="5"/>
  <c r="DI120" i="5"/>
  <c r="DF120" i="5"/>
  <c r="BW120" i="5"/>
  <c r="BV120" i="5"/>
  <c r="DI119" i="5"/>
  <c r="DH119" i="5"/>
  <c r="DF119" i="5"/>
  <c r="BW119" i="5"/>
  <c r="BV119" i="5"/>
  <c r="DI118" i="5"/>
  <c r="DH118" i="5"/>
  <c r="DF118" i="5"/>
  <c r="BW118" i="5"/>
  <c r="BV118" i="5"/>
  <c r="DI117" i="5"/>
  <c r="DH117" i="5"/>
  <c r="DF117" i="5"/>
  <c r="BW117" i="5"/>
  <c r="BV117" i="5"/>
  <c r="DI116" i="5"/>
  <c r="DH116" i="5"/>
  <c r="DF116" i="5"/>
  <c r="BW116" i="5"/>
  <c r="BV116" i="5"/>
  <c r="DI115" i="5"/>
  <c r="DH115" i="5"/>
  <c r="DF115" i="5"/>
  <c r="BW115" i="5"/>
  <c r="BV115" i="5"/>
  <c r="DI114" i="5"/>
  <c r="DH114" i="5"/>
  <c r="DF114" i="5"/>
  <c r="BW114" i="5"/>
  <c r="BV114" i="5"/>
  <c r="DI113" i="5"/>
  <c r="DH113" i="5"/>
  <c r="DF113" i="5"/>
  <c r="BW113" i="5"/>
  <c r="BV113" i="5"/>
  <c r="DI112" i="5"/>
  <c r="DH112" i="5"/>
  <c r="DF112" i="5"/>
  <c r="BW112" i="5"/>
  <c r="BV112" i="5"/>
  <c r="DI111" i="5"/>
  <c r="DH111" i="5"/>
  <c r="DF111" i="5"/>
  <c r="BW111" i="5"/>
  <c r="BV111" i="5"/>
  <c r="DI110" i="5"/>
  <c r="DH110" i="5"/>
  <c r="DF110" i="5"/>
  <c r="BW110" i="5"/>
  <c r="BV110" i="5"/>
  <c r="DI109" i="5"/>
  <c r="DH109" i="5"/>
  <c r="DF109" i="5"/>
  <c r="BW109" i="5"/>
  <c r="BV109" i="5"/>
  <c r="DI108" i="5"/>
  <c r="DH108" i="5"/>
  <c r="DF108" i="5"/>
  <c r="BW108" i="5"/>
  <c r="BV108" i="5"/>
  <c r="DI107" i="5"/>
  <c r="DH107" i="5"/>
  <c r="DF107" i="5"/>
  <c r="BW107" i="5"/>
  <c r="BV107" i="5"/>
  <c r="DI106" i="5"/>
  <c r="DH106" i="5"/>
  <c r="DF106" i="5"/>
  <c r="BW106" i="5"/>
  <c r="BV106" i="5"/>
  <c r="DI105" i="5"/>
  <c r="DH105" i="5"/>
  <c r="DF105" i="5"/>
  <c r="BW105" i="5"/>
  <c r="BV105" i="5"/>
  <c r="DI104" i="5"/>
  <c r="DH104" i="5"/>
  <c r="DF104" i="5"/>
  <c r="BW104" i="5"/>
  <c r="BV104" i="5"/>
  <c r="DI103" i="5"/>
  <c r="DH103" i="5"/>
  <c r="DF103" i="5"/>
  <c r="BW103" i="5"/>
  <c r="BV103" i="5"/>
  <c r="DI102" i="5"/>
  <c r="DH102" i="5"/>
  <c r="DF102" i="5"/>
  <c r="BW102" i="5"/>
  <c r="BV102" i="5"/>
  <c r="DI101" i="5"/>
  <c r="DH101" i="5"/>
  <c r="DF101" i="5"/>
  <c r="BW101" i="5"/>
  <c r="BV101" i="5"/>
  <c r="DI100" i="5"/>
  <c r="DH100" i="5"/>
  <c r="DF100" i="5"/>
  <c r="BW100" i="5"/>
  <c r="BV100" i="5"/>
  <c r="DI99" i="5"/>
  <c r="DH99" i="5"/>
  <c r="DF99" i="5"/>
  <c r="BW99" i="5"/>
  <c r="BV99" i="5"/>
  <c r="DI98" i="5"/>
  <c r="DH98" i="5"/>
  <c r="DF98" i="5"/>
  <c r="BW98" i="5"/>
  <c r="BV98" i="5"/>
  <c r="DI97" i="5"/>
  <c r="DH97" i="5"/>
  <c r="DF97" i="5"/>
  <c r="BW97" i="5"/>
  <c r="BV97" i="5"/>
  <c r="DI96" i="5"/>
  <c r="DF96" i="5"/>
  <c r="BW96" i="5"/>
  <c r="BV96" i="5"/>
  <c r="DI95" i="5"/>
  <c r="DH95" i="5"/>
  <c r="DF95" i="5"/>
  <c r="BW95" i="5"/>
  <c r="BV95" i="5"/>
  <c r="DI94" i="5"/>
  <c r="DH94" i="5"/>
  <c r="DF94" i="5"/>
  <c r="BW94" i="5"/>
  <c r="BV94" i="5"/>
  <c r="DI93" i="5"/>
  <c r="DH93" i="5"/>
  <c r="DF93" i="5"/>
  <c r="BW93" i="5"/>
  <c r="BV93" i="5"/>
  <c r="DI92" i="5"/>
  <c r="DH92" i="5"/>
  <c r="DF92" i="5"/>
  <c r="BW92" i="5"/>
  <c r="BV92" i="5"/>
  <c r="DI91" i="5"/>
  <c r="DF91" i="5"/>
  <c r="BW91" i="5"/>
  <c r="BV91" i="5"/>
  <c r="DI90" i="5"/>
  <c r="DF90" i="5"/>
  <c r="BW90" i="5"/>
  <c r="BV90" i="5"/>
  <c r="DI89" i="5"/>
  <c r="DH89" i="5"/>
  <c r="DF89" i="5"/>
  <c r="BW89" i="5"/>
  <c r="BV89" i="5"/>
  <c r="DI88" i="5"/>
  <c r="DH88" i="5"/>
  <c r="DF88" i="5"/>
  <c r="BW88" i="5"/>
  <c r="BV88" i="5"/>
  <c r="DI87" i="5"/>
  <c r="DH87" i="5"/>
  <c r="DF87" i="5"/>
  <c r="BW87" i="5"/>
  <c r="BV87" i="5"/>
  <c r="DI86" i="5"/>
  <c r="DH86" i="5"/>
  <c r="DF86" i="5"/>
  <c r="BW86" i="5"/>
  <c r="BV86" i="5"/>
  <c r="DI85" i="5"/>
  <c r="DH85" i="5"/>
  <c r="DF85" i="5"/>
  <c r="BW85" i="5"/>
  <c r="BV85" i="5"/>
  <c r="DI84" i="5"/>
  <c r="DF84" i="5"/>
  <c r="BW84" i="5"/>
  <c r="BV84" i="5"/>
  <c r="DI83" i="5"/>
  <c r="DH83" i="5"/>
  <c r="DF83" i="5"/>
  <c r="BW83" i="5"/>
  <c r="BV83" i="5"/>
  <c r="DI82" i="5"/>
  <c r="DH82" i="5"/>
  <c r="DF82" i="5"/>
  <c r="BW82" i="5"/>
  <c r="BV82" i="5"/>
  <c r="DI81" i="5"/>
  <c r="DH81" i="5"/>
  <c r="DF81" i="5"/>
  <c r="BW81" i="5"/>
  <c r="BV81" i="5"/>
  <c r="DI80" i="5"/>
  <c r="DH80" i="5"/>
  <c r="DF80" i="5"/>
  <c r="BW80" i="5"/>
  <c r="BV80" i="5"/>
  <c r="DI79" i="5"/>
  <c r="DH79" i="5"/>
  <c r="DF79" i="5"/>
  <c r="BW79" i="5"/>
  <c r="BV79" i="5"/>
  <c r="DI78" i="5"/>
  <c r="DH78" i="5"/>
  <c r="DF78" i="5"/>
  <c r="BW78" i="5"/>
  <c r="BV78" i="5"/>
  <c r="DI77" i="5"/>
  <c r="DH77" i="5"/>
  <c r="DF77" i="5"/>
  <c r="BW77" i="5"/>
  <c r="BV77" i="5"/>
  <c r="DI76" i="5"/>
  <c r="DH76" i="5"/>
  <c r="DF76" i="5"/>
  <c r="BW76" i="5"/>
  <c r="BV76" i="5"/>
  <c r="DI75" i="5"/>
  <c r="DH75" i="5"/>
  <c r="DF75" i="5"/>
  <c r="BW75" i="5"/>
  <c r="BV75" i="5"/>
  <c r="DI74" i="5"/>
  <c r="DH74" i="5"/>
  <c r="DF74" i="5"/>
  <c r="BW74" i="5"/>
  <c r="BV74" i="5"/>
  <c r="DI73" i="5"/>
  <c r="DF73" i="5"/>
  <c r="BW73" i="5"/>
  <c r="BV73" i="5"/>
  <c r="DI72" i="5"/>
  <c r="DH72" i="5"/>
  <c r="DF72" i="5"/>
  <c r="BW72" i="5"/>
  <c r="BV72" i="5"/>
  <c r="DI71" i="5"/>
  <c r="DH71" i="5"/>
  <c r="DF71" i="5"/>
  <c r="BW71" i="5"/>
  <c r="BV71" i="5"/>
  <c r="DI70" i="5"/>
  <c r="DH70" i="5"/>
  <c r="DF70" i="5"/>
  <c r="BW70" i="5"/>
  <c r="BV70" i="5"/>
  <c r="DI69" i="5"/>
  <c r="DH69" i="5"/>
  <c r="DF69" i="5"/>
  <c r="BW69" i="5"/>
  <c r="BV69" i="5"/>
  <c r="DI68" i="5"/>
  <c r="DH68" i="5"/>
  <c r="DF68" i="5"/>
  <c r="BW68" i="5"/>
  <c r="BV68" i="5"/>
  <c r="DI67" i="5"/>
  <c r="DH67" i="5"/>
  <c r="DF67" i="5"/>
  <c r="BW67" i="5"/>
  <c r="BV67" i="5"/>
  <c r="DI66" i="5"/>
  <c r="DF66" i="5"/>
  <c r="BW66" i="5"/>
  <c r="BV66" i="5"/>
  <c r="DI65" i="5"/>
  <c r="DH65" i="5"/>
  <c r="DF65" i="5"/>
  <c r="BW65" i="5"/>
  <c r="BV65" i="5"/>
  <c r="DI64" i="5"/>
  <c r="DH64" i="5"/>
  <c r="DF64" i="5"/>
  <c r="BW64" i="5"/>
  <c r="BV64" i="5"/>
  <c r="DI63" i="5"/>
  <c r="DH63" i="5"/>
  <c r="DF63" i="5"/>
  <c r="BW63" i="5"/>
  <c r="BV63" i="5"/>
  <c r="DI62" i="5"/>
  <c r="DH62" i="5"/>
  <c r="DF62" i="5"/>
  <c r="BW62" i="5"/>
  <c r="BV62" i="5"/>
  <c r="DI61" i="5"/>
  <c r="DH61" i="5"/>
  <c r="DF61" i="5"/>
  <c r="BW61" i="5"/>
  <c r="BV61" i="5"/>
  <c r="DI60" i="5"/>
  <c r="DH60" i="5"/>
  <c r="DF60" i="5"/>
  <c r="BW60" i="5"/>
  <c r="BV60" i="5"/>
  <c r="DI59" i="5"/>
  <c r="DH59" i="5"/>
  <c r="DF59" i="5"/>
  <c r="BW59" i="5"/>
  <c r="BV59" i="5"/>
  <c r="DI58" i="5"/>
  <c r="DH58" i="5"/>
  <c r="DF58" i="5"/>
  <c r="BW58" i="5"/>
  <c r="BV58" i="5"/>
  <c r="DI57" i="5"/>
  <c r="DH57" i="5"/>
  <c r="DF57" i="5"/>
  <c r="BW57" i="5"/>
  <c r="BV57" i="5"/>
  <c r="DI56" i="5"/>
  <c r="DH56" i="5"/>
  <c r="DF56" i="5"/>
  <c r="BW56" i="5"/>
  <c r="BV56" i="5"/>
  <c r="DI55" i="5"/>
  <c r="DH55" i="5"/>
  <c r="DF55" i="5"/>
  <c r="BW55" i="5"/>
  <c r="BV55" i="5"/>
  <c r="DI54" i="5"/>
  <c r="DH54" i="5"/>
  <c r="DF54" i="5"/>
  <c r="BW54" i="5"/>
  <c r="BV54" i="5"/>
  <c r="DI53" i="5"/>
  <c r="DH53" i="5"/>
  <c r="DF53" i="5"/>
  <c r="BW53" i="5"/>
  <c r="BV53" i="5"/>
  <c r="DI52" i="5"/>
  <c r="DH52" i="5"/>
  <c r="DF52" i="5"/>
  <c r="BW52" i="5"/>
  <c r="BV52" i="5"/>
  <c r="DI51" i="5"/>
  <c r="DH51" i="5"/>
  <c r="DF51" i="5"/>
  <c r="BW51" i="5"/>
  <c r="BV51" i="5"/>
  <c r="DI50" i="5"/>
  <c r="DH50" i="5"/>
  <c r="DF50" i="5"/>
  <c r="BW50" i="5"/>
  <c r="BV50" i="5"/>
  <c r="DI49" i="5"/>
  <c r="DH49" i="5"/>
  <c r="DF49" i="5"/>
  <c r="BW49" i="5"/>
  <c r="BV49" i="5"/>
  <c r="DI48" i="5"/>
  <c r="DH48" i="5"/>
  <c r="DF48" i="5"/>
  <c r="BW48" i="5"/>
  <c r="BV48" i="5"/>
  <c r="DI47" i="5"/>
  <c r="DH47" i="5"/>
  <c r="DF47" i="5"/>
  <c r="BW47" i="5"/>
  <c r="BV47" i="5"/>
  <c r="DI46" i="5"/>
  <c r="DH46" i="5"/>
  <c r="DF46" i="5"/>
  <c r="BW46" i="5"/>
  <c r="BV46" i="5"/>
  <c r="DI45" i="5"/>
  <c r="DH45" i="5"/>
  <c r="DF45" i="5"/>
  <c r="BW45" i="5"/>
  <c r="BV45" i="5"/>
  <c r="DI44" i="5"/>
  <c r="DH44" i="5"/>
  <c r="DF44" i="5"/>
  <c r="BW44" i="5"/>
  <c r="BV44" i="5"/>
  <c r="DI43" i="5"/>
  <c r="DH43" i="5"/>
  <c r="DF43" i="5"/>
  <c r="BW43" i="5"/>
  <c r="BV43" i="5"/>
  <c r="DI42" i="5"/>
  <c r="DH42" i="5"/>
  <c r="DF42" i="5"/>
  <c r="BW42" i="5"/>
  <c r="BV42" i="5"/>
  <c r="DI41" i="5"/>
  <c r="DH41" i="5"/>
  <c r="DF41" i="5"/>
  <c r="BW41" i="5"/>
  <c r="BV41" i="5"/>
  <c r="DI40" i="5"/>
  <c r="DH40" i="5"/>
  <c r="DF40" i="5"/>
  <c r="BW40" i="5"/>
  <c r="BV40" i="5"/>
  <c r="DI39" i="5"/>
  <c r="DH39" i="5"/>
  <c r="DF39" i="5"/>
  <c r="BW39" i="5"/>
  <c r="BV39" i="5"/>
  <c r="DI38" i="5"/>
  <c r="DF38" i="5"/>
  <c r="BW38" i="5"/>
  <c r="BV38" i="5"/>
  <c r="DI37" i="5"/>
  <c r="DH37" i="5"/>
  <c r="DF37" i="5"/>
  <c r="BW37" i="5"/>
  <c r="BV37" i="5"/>
  <c r="DI36" i="5"/>
  <c r="DH36" i="5"/>
  <c r="DF36" i="5"/>
  <c r="BW36" i="5"/>
  <c r="BV36" i="5"/>
  <c r="DI35" i="5"/>
  <c r="DF35" i="5"/>
  <c r="BW35" i="5"/>
  <c r="BV35" i="5"/>
  <c r="DI34" i="5"/>
  <c r="DF34" i="5"/>
  <c r="BW34" i="5"/>
  <c r="BV34" i="5"/>
  <c r="DI33" i="5"/>
  <c r="DH33" i="5"/>
  <c r="DF33" i="5"/>
  <c r="BW33" i="5"/>
  <c r="BV33" i="5"/>
  <c r="DI32" i="5"/>
  <c r="DH32" i="5"/>
  <c r="DF32" i="5"/>
  <c r="BW32" i="5"/>
  <c r="BV32" i="5"/>
  <c r="DI31" i="5"/>
  <c r="DH31" i="5"/>
  <c r="DF31" i="5"/>
  <c r="BW31" i="5"/>
  <c r="BV31" i="5"/>
  <c r="DI30" i="5"/>
  <c r="DF30" i="5"/>
  <c r="BW30" i="5"/>
  <c r="BV30" i="5"/>
  <c r="DI29" i="5"/>
  <c r="DF29" i="5"/>
  <c r="BW29" i="5"/>
  <c r="BV29" i="5"/>
  <c r="DI28" i="5"/>
  <c r="DH28" i="5"/>
  <c r="DF28" i="5"/>
  <c r="BW28" i="5"/>
  <c r="BV28" i="5"/>
  <c r="DI27" i="5"/>
  <c r="DF27" i="5"/>
  <c r="BW27" i="5"/>
  <c r="BV27" i="5"/>
  <c r="DI26" i="5"/>
  <c r="DH26" i="5"/>
  <c r="DF26" i="5"/>
  <c r="BW26" i="5"/>
  <c r="BV26" i="5"/>
  <c r="DI25" i="5"/>
  <c r="DH25" i="5"/>
  <c r="DF25" i="5"/>
  <c r="BW25" i="5"/>
  <c r="BV25" i="5"/>
  <c r="DI24" i="5"/>
  <c r="DH24" i="5"/>
  <c r="DF24" i="5"/>
  <c r="BW24" i="5"/>
  <c r="BV24" i="5"/>
  <c r="DI23" i="5"/>
  <c r="DH23" i="5"/>
  <c r="DF23" i="5"/>
  <c r="BW23" i="5"/>
  <c r="BV23" i="5"/>
  <c r="DI22" i="5"/>
  <c r="DH22" i="5"/>
  <c r="DF22" i="5"/>
  <c r="BW22" i="5"/>
  <c r="BV22" i="5"/>
  <c r="DI21" i="5"/>
  <c r="DH21" i="5"/>
  <c r="DF21" i="5"/>
  <c r="BW21" i="5"/>
  <c r="BV21" i="5"/>
  <c r="DI20" i="5"/>
  <c r="DH20" i="5"/>
  <c r="DF20" i="5"/>
  <c r="BW20" i="5"/>
  <c r="BV20" i="5"/>
  <c r="DI19" i="5"/>
  <c r="DH19" i="5"/>
  <c r="DF19" i="5"/>
  <c r="BW19" i="5"/>
  <c r="BV19" i="5"/>
  <c r="DI18" i="5"/>
  <c r="DH18" i="5"/>
  <c r="DF18" i="5"/>
  <c r="BW18" i="5"/>
  <c r="BV18" i="5"/>
  <c r="DI17" i="5"/>
  <c r="DH17" i="5"/>
  <c r="DF17" i="5"/>
  <c r="BW17" i="5"/>
  <c r="BV17" i="5"/>
  <c r="DI16" i="5"/>
  <c r="DH16" i="5"/>
  <c r="DF16" i="5"/>
  <c r="BW16" i="5"/>
  <c r="BV16" i="5"/>
  <c r="DI15" i="5"/>
  <c r="DF15" i="5"/>
  <c r="BW15" i="5"/>
  <c r="BV15" i="5"/>
  <c r="DI14" i="5"/>
  <c r="DH14" i="5"/>
  <c r="DF14" i="5"/>
  <c r="BW14" i="5"/>
  <c r="BV14" i="5"/>
  <c r="DI13" i="5"/>
  <c r="DH13" i="5"/>
  <c r="DF13" i="5"/>
  <c r="BW13" i="5"/>
  <c r="BV13" i="5"/>
  <c r="DI12" i="5"/>
  <c r="DF12" i="5"/>
  <c r="BW12" i="5"/>
  <c r="BV12" i="5"/>
  <c r="DI11" i="5"/>
  <c r="DH11" i="5"/>
  <c r="DF11" i="5"/>
  <c r="BW11" i="5"/>
  <c r="BV11" i="5"/>
  <c r="DI10" i="5"/>
  <c r="DH10" i="5"/>
  <c r="DF10" i="5"/>
  <c r="BW10" i="5"/>
  <c r="BV10" i="5"/>
  <c r="DI9" i="5"/>
  <c r="DF9" i="5"/>
  <c r="BW9" i="5"/>
  <c r="BV9" i="5"/>
  <c r="DI8" i="5"/>
  <c r="DF8" i="5"/>
  <c r="BW8" i="5"/>
  <c r="BV8" i="5"/>
  <c r="DI7" i="5"/>
  <c r="DH7" i="5"/>
  <c r="DF7" i="5"/>
  <c r="BW7" i="5"/>
  <c r="BV7" i="5"/>
  <c r="DI6" i="5"/>
  <c r="DH6" i="5"/>
  <c r="DF6" i="5"/>
  <c r="BW6" i="5"/>
  <c r="BV6" i="5"/>
  <c r="CW121" i="5"/>
  <c r="CW120" i="5"/>
  <c r="CW119" i="5"/>
  <c r="CW118" i="5"/>
  <c r="CW117" i="5"/>
  <c r="CW116" i="5"/>
  <c r="CW115" i="5"/>
  <c r="CW114" i="5"/>
  <c r="CW113" i="5"/>
  <c r="CW112" i="5"/>
  <c r="CW111" i="5"/>
  <c r="CW110" i="5"/>
  <c r="CW109" i="5"/>
  <c r="CW108" i="5"/>
  <c r="CW107" i="5"/>
  <c r="CW106" i="5"/>
  <c r="CW105" i="5"/>
  <c r="CW104" i="5"/>
  <c r="CW103" i="5"/>
  <c r="CW102" i="5"/>
  <c r="CW101" i="5"/>
  <c r="CW100" i="5"/>
  <c r="CW99" i="5"/>
  <c r="CW98" i="5"/>
  <c r="CW97" i="5"/>
  <c r="CW96" i="5"/>
  <c r="CW95" i="5"/>
  <c r="CW94" i="5"/>
  <c r="CW93" i="5"/>
  <c r="CW92" i="5"/>
  <c r="CW91" i="5"/>
  <c r="CW90" i="5"/>
  <c r="CW89" i="5"/>
  <c r="CW88" i="5"/>
  <c r="CW87" i="5"/>
  <c r="CW86" i="5"/>
  <c r="CW85" i="5"/>
  <c r="CW84" i="5"/>
  <c r="CW83" i="5"/>
  <c r="CW82" i="5"/>
  <c r="CW81" i="5"/>
  <c r="CW80" i="5"/>
  <c r="CW79" i="5"/>
  <c r="CW78" i="5"/>
  <c r="CW77" i="5"/>
  <c r="CW76" i="5"/>
  <c r="CW75" i="5"/>
  <c r="CW74" i="5"/>
  <c r="CW73" i="5"/>
  <c r="CW72" i="5"/>
  <c r="CW71" i="5"/>
  <c r="CW70" i="5"/>
  <c r="CW69" i="5"/>
  <c r="CW68" i="5"/>
  <c r="CW67" i="5"/>
  <c r="CW66" i="5"/>
  <c r="CW65" i="5"/>
  <c r="CW64" i="5"/>
  <c r="CW63" i="5"/>
  <c r="CW62" i="5"/>
  <c r="CW61" i="5"/>
  <c r="CW60" i="5"/>
  <c r="CW59" i="5"/>
  <c r="CW58" i="5"/>
  <c r="CW57" i="5"/>
  <c r="CW56" i="5"/>
  <c r="CW55" i="5"/>
  <c r="CW54" i="5"/>
  <c r="CW53" i="5"/>
  <c r="CW52" i="5"/>
  <c r="CW51" i="5"/>
  <c r="CW50" i="5"/>
  <c r="CW49" i="5"/>
  <c r="CW48" i="5"/>
  <c r="CW47" i="5"/>
  <c r="CW46" i="5"/>
  <c r="CW45" i="5"/>
  <c r="CW44" i="5"/>
  <c r="CW43" i="5"/>
  <c r="CW42" i="5"/>
  <c r="CW41" i="5"/>
  <c r="CW40" i="5"/>
  <c r="CW39" i="5"/>
  <c r="CW38" i="5"/>
  <c r="CW37" i="5"/>
  <c r="CW36" i="5"/>
  <c r="CW35" i="5"/>
  <c r="CW34" i="5"/>
  <c r="CW33" i="5"/>
  <c r="CW32" i="5"/>
  <c r="CW31" i="5"/>
  <c r="CW30" i="5"/>
  <c r="CW29" i="5"/>
  <c r="CW28" i="5"/>
  <c r="CW27" i="5"/>
  <c r="CW26" i="5"/>
  <c r="CW25" i="5"/>
  <c r="CW24" i="5"/>
  <c r="CW23" i="5"/>
  <c r="CW22" i="5"/>
  <c r="CW21" i="5"/>
  <c r="CW20" i="5"/>
  <c r="CW19" i="5"/>
  <c r="CW18" i="5"/>
  <c r="CW17" i="5"/>
  <c r="CW16" i="5"/>
  <c r="CW15" i="5"/>
  <c r="CW14" i="5"/>
  <c r="CW13" i="5"/>
  <c r="CW12" i="5"/>
  <c r="CW11" i="5"/>
  <c r="CW10" i="5"/>
  <c r="CW9" i="5"/>
  <c r="CW8" i="5"/>
  <c r="CW7" i="5"/>
  <c r="CW6" i="5"/>
  <c r="BO121" i="5"/>
  <c r="BN121" i="5"/>
  <c r="BO120" i="5"/>
  <c r="BN120" i="5"/>
  <c r="BO119" i="5"/>
  <c r="BN119" i="5"/>
  <c r="BO118" i="5"/>
  <c r="BN118" i="5"/>
  <c r="BO117" i="5"/>
  <c r="BN117" i="5"/>
  <c r="BO116" i="5"/>
  <c r="BN116" i="5"/>
  <c r="BO115" i="5"/>
  <c r="BN115" i="5"/>
  <c r="BO114" i="5"/>
  <c r="BN114" i="5"/>
  <c r="BO113" i="5"/>
  <c r="BN113" i="5"/>
  <c r="BO112" i="5"/>
  <c r="BN112" i="5"/>
  <c r="BO111" i="5"/>
  <c r="BN111" i="5"/>
  <c r="BO110" i="5"/>
  <c r="BN110" i="5"/>
  <c r="BO109" i="5"/>
  <c r="BN109" i="5"/>
  <c r="BO108" i="5"/>
  <c r="BN108" i="5"/>
  <c r="BO107" i="5"/>
  <c r="BN107" i="5"/>
  <c r="BO106" i="5"/>
  <c r="BN106" i="5"/>
  <c r="BO105" i="5"/>
  <c r="BN105" i="5"/>
  <c r="BO104" i="5"/>
  <c r="BN104" i="5"/>
  <c r="BO103" i="5"/>
  <c r="BN103" i="5"/>
  <c r="BO102" i="5"/>
  <c r="BN102" i="5"/>
  <c r="BO101" i="5"/>
  <c r="BN101" i="5"/>
  <c r="BO100" i="5"/>
  <c r="BN100" i="5"/>
  <c r="BO99" i="5"/>
  <c r="BN99" i="5"/>
  <c r="BO98" i="5"/>
  <c r="BN98" i="5"/>
  <c r="BO97" i="5"/>
  <c r="BN97" i="5"/>
  <c r="BO96" i="5"/>
  <c r="BN96" i="5"/>
  <c r="BO95" i="5"/>
  <c r="BN95" i="5"/>
  <c r="BO94" i="5"/>
  <c r="BN94" i="5"/>
  <c r="BO93" i="5"/>
  <c r="BN93" i="5"/>
  <c r="BO92" i="5"/>
  <c r="BN92" i="5"/>
  <c r="BO91" i="5"/>
  <c r="BN91" i="5"/>
  <c r="BO90" i="5"/>
  <c r="BN90" i="5"/>
  <c r="BO89" i="5"/>
  <c r="BN89" i="5"/>
  <c r="BO88" i="5"/>
  <c r="BN88" i="5"/>
  <c r="BO87" i="5"/>
  <c r="BN87" i="5"/>
  <c r="BO86" i="5"/>
  <c r="BN86" i="5"/>
  <c r="BO85" i="5"/>
  <c r="BN85" i="5"/>
  <c r="BO84" i="5"/>
  <c r="BN84" i="5"/>
  <c r="BO83" i="5"/>
  <c r="BN83" i="5"/>
  <c r="BO82" i="5"/>
  <c r="BN82" i="5"/>
  <c r="BO81" i="5"/>
  <c r="BN81" i="5"/>
  <c r="BO80" i="5"/>
  <c r="BN80" i="5"/>
  <c r="BO79" i="5"/>
  <c r="BN79" i="5"/>
  <c r="BO78" i="5"/>
  <c r="BN78" i="5"/>
  <c r="BO77" i="5"/>
  <c r="BN77" i="5"/>
  <c r="BO76" i="5"/>
  <c r="BN76" i="5"/>
  <c r="BO75" i="5"/>
  <c r="BN75" i="5"/>
  <c r="BO74" i="5"/>
  <c r="BN74" i="5"/>
  <c r="BO73" i="5"/>
  <c r="BN73" i="5"/>
  <c r="BO72" i="5"/>
  <c r="BN72" i="5"/>
  <c r="BO71" i="5"/>
  <c r="BN71" i="5"/>
  <c r="BO70" i="5"/>
  <c r="BN70" i="5"/>
  <c r="BO69" i="5"/>
  <c r="BN69" i="5"/>
  <c r="BO68" i="5"/>
  <c r="BN68" i="5"/>
  <c r="BO67" i="5"/>
  <c r="BN67" i="5"/>
  <c r="BO66" i="5"/>
  <c r="BN66" i="5"/>
  <c r="BO65" i="5"/>
  <c r="BN65" i="5"/>
  <c r="BO64" i="5"/>
  <c r="BN64" i="5"/>
  <c r="BO63" i="5"/>
  <c r="BN63" i="5"/>
  <c r="BO62" i="5"/>
  <c r="BN62" i="5"/>
  <c r="BO61" i="5"/>
  <c r="BN61" i="5"/>
  <c r="BO60" i="5"/>
  <c r="BN60" i="5"/>
  <c r="BO59" i="5"/>
  <c r="BN59" i="5"/>
  <c r="BO58" i="5"/>
  <c r="BN58" i="5"/>
  <c r="BO57" i="5"/>
  <c r="BN57" i="5"/>
  <c r="BO56" i="5"/>
  <c r="BN56" i="5"/>
  <c r="BO55" i="5"/>
  <c r="BN55" i="5"/>
  <c r="BO54" i="5"/>
  <c r="BN54" i="5"/>
  <c r="BO53" i="5"/>
  <c r="BN53" i="5"/>
  <c r="BO52" i="5"/>
  <c r="BN52" i="5"/>
  <c r="BO51" i="5"/>
  <c r="BN51" i="5"/>
  <c r="BO50" i="5"/>
  <c r="BN50" i="5"/>
  <c r="BO49" i="5"/>
  <c r="BN49" i="5"/>
  <c r="BO48" i="5"/>
  <c r="BN48" i="5"/>
  <c r="BO47" i="5"/>
  <c r="BN47" i="5"/>
  <c r="BO46" i="5"/>
  <c r="BN46" i="5"/>
  <c r="BO45" i="5"/>
  <c r="BN45" i="5"/>
  <c r="BO44" i="5"/>
  <c r="BN44" i="5"/>
  <c r="BO43" i="5"/>
  <c r="BN43" i="5"/>
  <c r="BO42" i="5"/>
  <c r="BN42" i="5"/>
  <c r="BO41" i="5"/>
  <c r="BN41" i="5"/>
  <c r="BO40" i="5"/>
  <c r="BN40" i="5"/>
  <c r="BO39" i="5"/>
  <c r="BN39" i="5"/>
  <c r="BO38" i="5"/>
  <c r="BN38" i="5"/>
  <c r="BO37" i="5"/>
  <c r="BN37" i="5"/>
  <c r="BO36" i="5"/>
  <c r="BN36" i="5"/>
  <c r="BO35" i="5"/>
  <c r="BN35" i="5"/>
  <c r="BO34" i="5"/>
  <c r="BN34" i="5"/>
  <c r="BO33" i="5"/>
  <c r="BN33" i="5"/>
  <c r="BO32" i="5"/>
  <c r="BN32" i="5"/>
  <c r="BO31" i="5"/>
  <c r="BN31" i="5"/>
  <c r="BO30" i="5"/>
  <c r="BN30" i="5"/>
  <c r="BO29" i="5"/>
  <c r="BN29" i="5"/>
  <c r="BO28" i="5"/>
  <c r="BN28" i="5"/>
  <c r="BO27" i="5"/>
  <c r="BN27" i="5"/>
  <c r="BO26" i="5"/>
  <c r="BN26" i="5"/>
  <c r="BO25" i="5"/>
  <c r="BN25" i="5"/>
  <c r="BO24" i="5"/>
  <c r="BN24" i="5"/>
  <c r="BO23" i="5"/>
  <c r="BN23" i="5"/>
  <c r="BO22" i="5"/>
  <c r="BN22" i="5"/>
  <c r="BO21" i="5"/>
  <c r="BN21" i="5"/>
  <c r="BO20" i="5"/>
  <c r="BN20" i="5"/>
  <c r="BO19" i="5"/>
  <c r="BN19" i="5"/>
  <c r="BO18" i="5"/>
  <c r="BN18" i="5"/>
  <c r="BO17" i="5"/>
  <c r="BN17" i="5"/>
  <c r="BO16" i="5"/>
  <c r="BN16" i="5"/>
  <c r="BO15" i="5"/>
  <c r="BN15" i="5"/>
  <c r="BO14" i="5"/>
  <c r="BN14" i="5"/>
  <c r="BO13" i="5"/>
  <c r="BN13" i="5"/>
  <c r="BO12" i="5"/>
  <c r="BN12" i="5"/>
  <c r="BO11" i="5"/>
  <c r="BN11" i="5"/>
  <c r="BO10" i="5"/>
  <c r="BN10" i="5"/>
  <c r="BO9" i="5"/>
  <c r="BN9" i="5"/>
  <c r="BO8" i="5"/>
  <c r="BN8" i="5"/>
  <c r="BO7" i="5"/>
  <c r="BN7" i="5"/>
  <c r="BO6" i="5"/>
  <c r="BN6" i="5"/>
  <c r="BJ121" i="5"/>
  <c r="BJ120" i="5"/>
  <c r="BJ119" i="5"/>
  <c r="BJ118" i="5"/>
  <c r="BJ117" i="5"/>
  <c r="BJ116" i="5"/>
  <c r="BJ115" i="5"/>
  <c r="BJ114" i="5"/>
  <c r="BJ113" i="5"/>
  <c r="BJ112" i="5"/>
  <c r="BJ111" i="5"/>
  <c r="BJ110" i="5"/>
  <c r="BJ109" i="5"/>
  <c r="BJ108" i="5"/>
  <c r="BJ107" i="5"/>
  <c r="BJ106" i="5"/>
  <c r="BJ105" i="5"/>
  <c r="BJ104" i="5"/>
  <c r="BJ103" i="5"/>
  <c r="BJ102" i="5"/>
  <c r="BJ101" i="5"/>
  <c r="BJ100" i="5"/>
  <c r="BJ99" i="5"/>
  <c r="BJ98" i="5"/>
  <c r="BJ97" i="5"/>
  <c r="BJ96" i="5"/>
  <c r="BJ95" i="5"/>
  <c r="BJ94" i="5"/>
  <c r="BJ93" i="5"/>
  <c r="BJ92" i="5"/>
  <c r="BJ91" i="5"/>
  <c r="BJ90" i="5"/>
  <c r="BJ89" i="5"/>
  <c r="BJ88" i="5"/>
  <c r="BJ87" i="5"/>
  <c r="BJ86" i="5"/>
  <c r="BJ85" i="5"/>
  <c r="BJ84" i="5"/>
  <c r="BJ83" i="5"/>
  <c r="BJ82" i="5"/>
  <c r="BJ81" i="5"/>
  <c r="BJ80" i="5"/>
  <c r="BJ79" i="5"/>
  <c r="BJ78" i="5"/>
  <c r="BJ77" i="5"/>
  <c r="BJ76" i="5"/>
  <c r="BJ75" i="5"/>
  <c r="BJ74" i="5"/>
  <c r="BJ73" i="5"/>
  <c r="BJ72" i="5"/>
  <c r="BJ71" i="5"/>
  <c r="BJ70" i="5"/>
  <c r="BJ69" i="5"/>
  <c r="BJ68" i="5"/>
  <c r="BJ67" i="5"/>
  <c r="BJ66" i="5"/>
  <c r="BJ65" i="5"/>
  <c r="BJ64" i="5"/>
  <c r="BJ63" i="5"/>
  <c r="BJ62" i="5"/>
  <c r="BJ61" i="5"/>
  <c r="BJ60" i="5"/>
  <c r="BJ59" i="5"/>
  <c r="BJ58" i="5"/>
  <c r="BJ57" i="5"/>
  <c r="BJ56" i="5"/>
  <c r="BJ55" i="5"/>
  <c r="BJ54" i="5"/>
  <c r="BJ53" i="5"/>
  <c r="BJ52" i="5"/>
  <c r="BJ51" i="5"/>
  <c r="BJ50" i="5"/>
  <c r="BJ49" i="5"/>
  <c r="BJ48" i="5"/>
  <c r="BJ47" i="5"/>
  <c r="BJ46" i="5"/>
  <c r="BJ45" i="5"/>
  <c r="BJ44" i="5"/>
  <c r="BJ43" i="5"/>
  <c r="BJ42" i="5"/>
  <c r="BJ41" i="5"/>
  <c r="BJ40" i="5"/>
  <c r="BJ39" i="5"/>
  <c r="BJ38" i="5"/>
  <c r="BJ37" i="5"/>
  <c r="BJ36" i="5"/>
  <c r="BJ35" i="5"/>
  <c r="BJ34" i="5"/>
  <c r="BJ33" i="5"/>
  <c r="BJ32" i="5"/>
  <c r="BJ31" i="5"/>
  <c r="BJ30" i="5"/>
  <c r="BJ29" i="5"/>
  <c r="BJ28" i="5"/>
  <c r="BJ27" i="5"/>
  <c r="BJ26" i="5"/>
  <c r="BJ25" i="5"/>
  <c r="BJ24" i="5"/>
  <c r="BJ23" i="5"/>
  <c r="BJ22" i="5"/>
  <c r="BJ21" i="5"/>
  <c r="BJ20" i="5"/>
  <c r="BJ19" i="5"/>
  <c r="BJ18" i="5"/>
  <c r="BJ17" i="5"/>
  <c r="BJ16" i="5"/>
  <c r="BJ15" i="5"/>
  <c r="BJ14" i="5"/>
  <c r="BJ13" i="5"/>
  <c r="BJ12" i="5"/>
  <c r="BJ11" i="5"/>
  <c r="BJ10" i="5"/>
  <c r="BJ9" i="5"/>
  <c r="BJ8" i="5"/>
  <c r="BJ7" i="5"/>
  <c r="BJ6" i="5"/>
  <c r="BH121" i="5"/>
  <c r="BH120" i="5"/>
  <c r="BH119" i="5"/>
  <c r="BH118" i="5"/>
  <c r="BH117" i="5"/>
  <c r="BH116" i="5"/>
  <c r="BH115" i="5"/>
  <c r="BH114" i="5"/>
  <c r="BH113" i="5"/>
  <c r="BH112" i="5"/>
  <c r="BH111" i="5"/>
  <c r="BH110" i="5"/>
  <c r="BH109" i="5"/>
  <c r="BH108" i="5"/>
  <c r="BH107" i="5"/>
  <c r="BH106" i="5"/>
  <c r="BH105" i="5"/>
  <c r="BH104" i="5"/>
  <c r="BH103" i="5"/>
  <c r="BH102" i="5"/>
  <c r="BH101" i="5"/>
  <c r="BH100" i="5"/>
  <c r="BH99" i="5"/>
  <c r="BH98" i="5"/>
  <c r="BH97" i="5"/>
  <c r="BH96" i="5"/>
  <c r="BH95" i="5"/>
  <c r="BH94" i="5"/>
  <c r="BH93" i="5"/>
  <c r="BH92" i="5"/>
  <c r="BH91" i="5"/>
  <c r="BH90" i="5"/>
  <c r="BH89" i="5"/>
  <c r="BH88" i="5"/>
  <c r="BH87" i="5"/>
  <c r="BH86" i="5"/>
  <c r="BH85" i="5"/>
  <c r="BH84" i="5"/>
  <c r="BH83" i="5"/>
  <c r="BH82" i="5"/>
  <c r="BH81" i="5"/>
  <c r="BH80" i="5"/>
  <c r="BH79" i="5"/>
  <c r="BH78" i="5"/>
  <c r="BH77" i="5"/>
  <c r="BH76" i="5"/>
  <c r="BH75" i="5"/>
  <c r="BH74" i="5"/>
  <c r="BH73" i="5"/>
  <c r="BH72" i="5"/>
  <c r="BH71" i="5"/>
  <c r="BH70" i="5"/>
  <c r="BH69" i="5"/>
  <c r="BH68" i="5"/>
  <c r="BH67" i="5"/>
  <c r="BH66" i="5"/>
  <c r="BH65" i="5"/>
  <c r="BH64" i="5"/>
  <c r="BH63" i="5"/>
  <c r="BH62" i="5"/>
  <c r="BH61" i="5"/>
  <c r="BH60" i="5"/>
  <c r="BH59" i="5"/>
  <c r="BH58" i="5"/>
  <c r="BH57" i="5"/>
  <c r="BH56" i="5"/>
  <c r="BH55" i="5"/>
  <c r="BH54" i="5"/>
  <c r="BH53" i="5"/>
  <c r="BH52" i="5"/>
  <c r="BH51" i="5"/>
  <c r="BH50" i="5"/>
  <c r="BH49" i="5"/>
  <c r="BH48" i="5"/>
  <c r="BH47" i="5"/>
  <c r="BH46" i="5"/>
  <c r="BH45" i="5"/>
  <c r="BH44" i="5"/>
  <c r="BH43" i="5"/>
  <c r="BH42" i="5"/>
  <c r="BH41" i="5"/>
  <c r="BH40" i="5"/>
  <c r="BH39" i="5"/>
  <c r="BH38" i="5"/>
  <c r="BH37" i="5"/>
  <c r="BH36" i="5"/>
  <c r="BH35" i="5"/>
  <c r="BH34" i="5"/>
  <c r="BH33" i="5"/>
  <c r="BH32" i="5"/>
  <c r="BH31" i="5"/>
  <c r="BH30" i="5"/>
  <c r="BH29" i="5"/>
  <c r="BH28" i="5"/>
  <c r="BH27" i="5"/>
  <c r="BH26" i="5"/>
  <c r="BH25" i="5"/>
  <c r="BH24" i="5"/>
  <c r="BH23" i="5"/>
  <c r="BH22" i="5"/>
  <c r="BH21" i="5"/>
  <c r="BH20" i="5"/>
  <c r="BH19" i="5"/>
  <c r="BH18" i="5"/>
  <c r="BH17" i="5"/>
  <c r="BH16" i="5"/>
  <c r="BH15" i="5"/>
  <c r="BH14" i="5"/>
  <c r="BH13" i="5"/>
  <c r="BH12" i="5"/>
  <c r="BH11" i="5"/>
  <c r="BH10" i="5"/>
  <c r="BH9" i="5"/>
  <c r="BH8" i="5"/>
  <c r="BH7" i="5"/>
  <c r="BH6" i="5"/>
  <c r="BD121" i="5"/>
  <c r="BC121" i="5"/>
  <c r="BD120" i="5"/>
  <c r="BC120" i="5"/>
  <c r="BD119" i="5"/>
  <c r="BC119" i="5"/>
  <c r="BD118" i="5"/>
  <c r="BC118" i="5"/>
  <c r="BD117" i="5"/>
  <c r="BC117" i="5"/>
  <c r="BD116" i="5"/>
  <c r="BC116" i="5"/>
  <c r="BD115" i="5"/>
  <c r="BC115" i="5"/>
  <c r="BD114" i="5"/>
  <c r="BC114" i="5"/>
  <c r="BD113" i="5"/>
  <c r="BC113" i="5"/>
  <c r="BD112" i="5"/>
  <c r="BC112" i="5"/>
  <c r="BD111" i="5"/>
  <c r="BC111" i="5"/>
  <c r="BD110" i="5"/>
  <c r="BC110" i="5"/>
  <c r="BD109" i="5"/>
  <c r="BC109" i="5"/>
  <c r="BD108" i="5"/>
  <c r="BC108" i="5"/>
  <c r="BD107" i="5"/>
  <c r="BC107" i="5"/>
  <c r="BD106" i="5"/>
  <c r="BC106" i="5"/>
  <c r="BD105" i="5"/>
  <c r="BC105" i="5"/>
  <c r="BD104" i="5"/>
  <c r="BC104" i="5"/>
  <c r="BD103" i="5"/>
  <c r="BC103" i="5"/>
  <c r="BD102" i="5"/>
  <c r="BC102" i="5"/>
  <c r="BD101" i="5"/>
  <c r="BC101" i="5"/>
  <c r="BD100" i="5"/>
  <c r="BC100" i="5"/>
  <c r="BD99" i="5"/>
  <c r="BC99" i="5"/>
  <c r="BD98" i="5"/>
  <c r="BC98" i="5"/>
  <c r="BD97" i="5"/>
  <c r="BC97" i="5"/>
  <c r="BD96" i="5"/>
  <c r="BC96" i="5"/>
  <c r="BD95" i="5"/>
  <c r="BC95" i="5"/>
  <c r="BD94" i="5"/>
  <c r="BC94" i="5"/>
  <c r="BD93" i="5"/>
  <c r="BC93" i="5"/>
  <c r="BD92" i="5"/>
  <c r="BC92" i="5"/>
  <c r="BD91" i="5"/>
  <c r="BC91" i="5"/>
  <c r="BD90" i="5"/>
  <c r="BC90" i="5"/>
  <c r="BD89" i="5"/>
  <c r="BC89" i="5"/>
  <c r="BD88" i="5"/>
  <c r="BC88" i="5"/>
  <c r="BD87" i="5"/>
  <c r="BC87" i="5"/>
  <c r="BD86" i="5"/>
  <c r="BC86" i="5"/>
  <c r="BD85" i="5"/>
  <c r="BC85" i="5"/>
  <c r="BD84" i="5"/>
  <c r="BC84" i="5"/>
  <c r="BD83" i="5"/>
  <c r="BC83" i="5"/>
  <c r="BD82" i="5"/>
  <c r="BC82" i="5"/>
  <c r="BD81" i="5"/>
  <c r="BC81" i="5"/>
  <c r="BD80" i="5"/>
  <c r="BC80" i="5"/>
  <c r="BD79" i="5"/>
  <c r="BC79" i="5"/>
  <c r="BD78" i="5"/>
  <c r="BC78" i="5"/>
  <c r="BD77" i="5"/>
  <c r="BC77" i="5"/>
  <c r="BD76" i="5"/>
  <c r="BC76" i="5"/>
  <c r="BD75" i="5"/>
  <c r="BC75" i="5"/>
  <c r="BD74" i="5"/>
  <c r="BC74" i="5"/>
  <c r="BD73" i="5"/>
  <c r="BC73" i="5"/>
  <c r="BD72" i="5"/>
  <c r="BC72" i="5"/>
  <c r="BD71" i="5"/>
  <c r="BC71" i="5"/>
  <c r="BD70" i="5"/>
  <c r="BC70" i="5"/>
  <c r="BD69" i="5"/>
  <c r="BC69" i="5"/>
  <c r="BD68" i="5"/>
  <c r="BC68" i="5"/>
  <c r="BD67" i="5"/>
  <c r="BC67" i="5"/>
  <c r="BD66" i="5"/>
  <c r="BC66" i="5"/>
  <c r="BD65" i="5"/>
  <c r="BC65" i="5"/>
  <c r="BD64" i="5"/>
  <c r="BC64" i="5"/>
  <c r="BD63" i="5"/>
  <c r="BC63" i="5"/>
  <c r="BD62" i="5"/>
  <c r="BD61" i="5"/>
  <c r="BC61" i="5"/>
  <c r="BD60" i="5"/>
  <c r="BC60" i="5"/>
  <c r="BD59" i="5"/>
  <c r="BC59" i="5"/>
  <c r="BD58" i="5"/>
  <c r="BC58" i="5"/>
  <c r="BD57" i="5"/>
  <c r="BC57" i="5"/>
  <c r="BD56" i="5"/>
  <c r="BC56" i="5"/>
  <c r="BD55" i="5"/>
  <c r="BC55" i="5"/>
  <c r="BD54" i="5"/>
  <c r="BC54" i="5"/>
  <c r="BD53" i="5"/>
  <c r="BC53" i="5"/>
  <c r="BD52" i="5"/>
  <c r="BC52" i="5"/>
  <c r="BD51" i="5"/>
  <c r="BC51" i="5"/>
  <c r="BD50" i="5"/>
  <c r="BC50" i="5"/>
  <c r="BD49" i="5"/>
  <c r="BC49" i="5"/>
  <c r="BD48" i="5"/>
  <c r="BC48" i="5"/>
  <c r="BD47" i="5"/>
  <c r="BC47" i="5"/>
  <c r="BD46" i="5"/>
  <c r="BC46" i="5"/>
  <c r="BD45" i="5"/>
  <c r="BC45" i="5"/>
  <c r="BD44" i="5"/>
  <c r="BC44" i="5"/>
  <c r="BD43" i="5"/>
  <c r="BC43" i="5"/>
  <c r="BD42" i="5"/>
  <c r="BC42" i="5"/>
  <c r="BD41" i="5"/>
  <c r="BC41" i="5"/>
  <c r="BD40" i="5"/>
  <c r="BC40" i="5"/>
  <c r="BD39" i="5"/>
  <c r="BC39" i="5"/>
  <c r="BD38" i="5"/>
  <c r="BC38" i="5"/>
  <c r="BD37" i="5"/>
  <c r="BC37" i="5"/>
  <c r="BD36" i="5"/>
  <c r="BC36" i="5"/>
  <c r="BD35" i="5"/>
  <c r="BC35" i="5"/>
  <c r="BD34" i="5"/>
  <c r="BC34" i="5"/>
  <c r="BD33" i="5"/>
  <c r="BC33" i="5"/>
  <c r="BD32" i="5"/>
  <c r="BC32" i="5"/>
  <c r="BD31" i="5"/>
  <c r="BC31" i="5"/>
  <c r="BD30" i="5"/>
  <c r="BC30" i="5"/>
  <c r="BD29" i="5"/>
  <c r="BC29" i="5"/>
  <c r="BD28" i="5"/>
  <c r="BC28" i="5"/>
  <c r="BD27" i="5"/>
  <c r="BC27" i="5"/>
  <c r="BD26" i="5"/>
  <c r="BC26" i="5"/>
  <c r="BD25" i="5"/>
  <c r="BC25" i="5"/>
  <c r="BD24" i="5"/>
  <c r="BC24" i="5"/>
  <c r="BD23" i="5"/>
  <c r="BC23" i="5"/>
  <c r="BD22" i="5"/>
  <c r="BC22" i="5"/>
  <c r="BD21" i="5"/>
  <c r="BC21" i="5"/>
  <c r="BD20" i="5"/>
  <c r="BC20" i="5"/>
  <c r="BD19" i="5"/>
  <c r="BC19" i="5"/>
  <c r="BD18" i="5"/>
  <c r="BC18" i="5"/>
  <c r="BD17" i="5"/>
  <c r="BC17" i="5"/>
  <c r="BD16" i="5"/>
  <c r="BC16" i="5"/>
  <c r="BD15" i="5"/>
  <c r="BC15" i="5"/>
  <c r="BD14" i="5"/>
  <c r="BC14" i="5"/>
  <c r="BD13" i="5"/>
  <c r="BC13" i="5"/>
  <c r="BD12" i="5"/>
  <c r="BC12" i="5"/>
  <c r="BD11" i="5"/>
  <c r="BC11" i="5"/>
  <c r="BD10" i="5"/>
  <c r="BC10" i="5"/>
  <c r="BD9" i="5"/>
  <c r="BC9" i="5"/>
  <c r="BD8" i="5"/>
  <c r="BC8" i="5"/>
  <c r="BD7" i="5"/>
  <c r="BC7" i="5"/>
  <c r="BD6" i="5"/>
  <c r="BC6" i="5"/>
  <c r="DC121" i="5"/>
  <c r="DB121" i="5"/>
  <c r="AQ121" i="5"/>
  <c r="AP121" i="5"/>
  <c r="AO121" i="5"/>
  <c r="DC120" i="5"/>
  <c r="DB120" i="5"/>
  <c r="AQ120" i="5"/>
  <c r="AP120" i="5"/>
  <c r="AO120" i="5"/>
  <c r="DC119" i="5"/>
  <c r="DB119" i="5"/>
  <c r="AQ119" i="5"/>
  <c r="AP119" i="5"/>
  <c r="AO119" i="5"/>
  <c r="DC118" i="5"/>
  <c r="DB118" i="5"/>
  <c r="AQ118" i="5"/>
  <c r="AP118" i="5"/>
  <c r="AO118" i="5"/>
  <c r="DC117" i="5"/>
  <c r="DB117" i="5"/>
  <c r="AQ117" i="5"/>
  <c r="AP117" i="5"/>
  <c r="AO117" i="5"/>
  <c r="DC116" i="5"/>
  <c r="DB116" i="5"/>
  <c r="AQ116" i="5"/>
  <c r="AP116" i="5"/>
  <c r="AO116" i="5"/>
  <c r="DC115" i="5"/>
  <c r="DB115" i="5"/>
  <c r="AQ115" i="5"/>
  <c r="AP115" i="5"/>
  <c r="AO115" i="5"/>
  <c r="DC114" i="5"/>
  <c r="DB114" i="5"/>
  <c r="AQ114" i="5"/>
  <c r="AP114" i="5"/>
  <c r="AO114" i="5"/>
  <c r="DC113" i="5"/>
  <c r="DB113" i="5"/>
  <c r="AQ113" i="5"/>
  <c r="AP113" i="5"/>
  <c r="AO113" i="5"/>
  <c r="DC112" i="5"/>
  <c r="DB112" i="5"/>
  <c r="AQ112" i="5"/>
  <c r="AP112" i="5"/>
  <c r="AO112" i="5"/>
  <c r="DC111" i="5"/>
  <c r="DB111" i="5"/>
  <c r="AQ111" i="5"/>
  <c r="AP111" i="5"/>
  <c r="AO111" i="5"/>
  <c r="DC110" i="5"/>
  <c r="DB110" i="5"/>
  <c r="AQ110" i="5"/>
  <c r="AP110" i="5"/>
  <c r="AO110" i="5"/>
  <c r="DC109" i="5"/>
  <c r="DB109" i="5"/>
  <c r="AQ109" i="5"/>
  <c r="AP109" i="5"/>
  <c r="AO109" i="5"/>
  <c r="DC108" i="5"/>
  <c r="DB108" i="5"/>
  <c r="AQ108" i="5"/>
  <c r="AP108" i="5"/>
  <c r="AO108" i="5"/>
  <c r="DC107" i="5"/>
  <c r="DB107" i="5"/>
  <c r="AQ107" i="5"/>
  <c r="AP107" i="5"/>
  <c r="AO107" i="5"/>
  <c r="DC106" i="5"/>
  <c r="DB106" i="5"/>
  <c r="AQ106" i="5"/>
  <c r="AP106" i="5"/>
  <c r="AO106" i="5"/>
  <c r="DC105" i="5"/>
  <c r="DB105" i="5"/>
  <c r="AQ105" i="5"/>
  <c r="AP105" i="5"/>
  <c r="AO105" i="5"/>
  <c r="DC104" i="5"/>
  <c r="DB104" i="5"/>
  <c r="AQ104" i="5"/>
  <c r="AP104" i="5"/>
  <c r="AO104" i="5"/>
  <c r="DC103" i="5"/>
  <c r="DB103" i="5"/>
  <c r="AQ103" i="5"/>
  <c r="AP103" i="5"/>
  <c r="AO103" i="5"/>
  <c r="DC102" i="5"/>
  <c r="DB102" i="5"/>
  <c r="AQ102" i="5"/>
  <c r="AP102" i="5"/>
  <c r="AO102" i="5"/>
  <c r="DC101" i="5"/>
  <c r="DB101" i="5"/>
  <c r="AQ101" i="5"/>
  <c r="AP101" i="5"/>
  <c r="AO101" i="5"/>
  <c r="DC100" i="5"/>
  <c r="DB100" i="5"/>
  <c r="AQ100" i="5"/>
  <c r="AP100" i="5"/>
  <c r="AO100" i="5"/>
  <c r="DC99" i="5"/>
  <c r="DB99" i="5"/>
  <c r="AQ99" i="5"/>
  <c r="AP99" i="5"/>
  <c r="AO99" i="5"/>
  <c r="DC98" i="5"/>
  <c r="DB98" i="5"/>
  <c r="AQ98" i="5"/>
  <c r="AP98" i="5"/>
  <c r="AO98" i="5"/>
  <c r="DC97" i="5"/>
  <c r="DB97" i="5"/>
  <c r="AQ97" i="5"/>
  <c r="AP97" i="5"/>
  <c r="AO97" i="5"/>
  <c r="DC96" i="5"/>
  <c r="DB96" i="5"/>
  <c r="AQ96" i="5"/>
  <c r="AP96" i="5"/>
  <c r="AO96" i="5"/>
  <c r="DC95" i="5"/>
  <c r="DB95" i="5"/>
  <c r="AQ95" i="5"/>
  <c r="AP95" i="5"/>
  <c r="AO95" i="5"/>
  <c r="DC94" i="5"/>
  <c r="DB94" i="5"/>
  <c r="AQ94" i="5"/>
  <c r="AP94" i="5"/>
  <c r="AO94" i="5"/>
  <c r="DC93" i="5"/>
  <c r="DB93" i="5"/>
  <c r="AQ93" i="5"/>
  <c r="AP93" i="5"/>
  <c r="AO93" i="5"/>
  <c r="DC92" i="5"/>
  <c r="DB92" i="5"/>
  <c r="AQ92" i="5"/>
  <c r="AP92" i="5"/>
  <c r="AO92" i="5"/>
  <c r="DC91" i="5"/>
  <c r="DB91" i="5"/>
  <c r="AQ91" i="5"/>
  <c r="AP91" i="5"/>
  <c r="AO91" i="5"/>
  <c r="DC90" i="5"/>
  <c r="DB90" i="5"/>
  <c r="AQ90" i="5"/>
  <c r="AP90" i="5"/>
  <c r="AO90" i="5"/>
  <c r="DC89" i="5"/>
  <c r="DB89" i="5"/>
  <c r="AQ89" i="5"/>
  <c r="AP89" i="5"/>
  <c r="AO89" i="5"/>
  <c r="DC88" i="5"/>
  <c r="DB88" i="5"/>
  <c r="AQ88" i="5"/>
  <c r="AP88" i="5"/>
  <c r="AO88" i="5"/>
  <c r="DC87" i="5"/>
  <c r="DB87" i="5"/>
  <c r="AQ87" i="5"/>
  <c r="AP87" i="5"/>
  <c r="AO87" i="5"/>
  <c r="DC86" i="5"/>
  <c r="DB86" i="5"/>
  <c r="AQ86" i="5"/>
  <c r="AP86" i="5"/>
  <c r="AO86" i="5"/>
  <c r="DC85" i="5"/>
  <c r="DB85" i="5"/>
  <c r="AQ85" i="5"/>
  <c r="AP85" i="5"/>
  <c r="AO85" i="5"/>
  <c r="DC84" i="5"/>
  <c r="DB84" i="5"/>
  <c r="AQ84" i="5"/>
  <c r="AP84" i="5"/>
  <c r="AO84" i="5"/>
  <c r="DC83" i="5"/>
  <c r="DB83" i="5"/>
  <c r="AQ83" i="5"/>
  <c r="AP83" i="5"/>
  <c r="AO83" i="5"/>
  <c r="DC82" i="5"/>
  <c r="DB82" i="5"/>
  <c r="AQ82" i="5"/>
  <c r="AP82" i="5"/>
  <c r="AO82" i="5"/>
  <c r="DC81" i="5"/>
  <c r="DB81" i="5"/>
  <c r="AQ81" i="5"/>
  <c r="AP81" i="5"/>
  <c r="AO81" i="5"/>
  <c r="DC80" i="5"/>
  <c r="DB80" i="5"/>
  <c r="AQ80" i="5"/>
  <c r="AP80" i="5"/>
  <c r="AO80" i="5"/>
  <c r="DC79" i="5"/>
  <c r="DB79" i="5"/>
  <c r="AQ79" i="5"/>
  <c r="AP79" i="5"/>
  <c r="AO79" i="5"/>
  <c r="DC78" i="5"/>
  <c r="DB78" i="5"/>
  <c r="AQ78" i="5"/>
  <c r="AP78" i="5"/>
  <c r="AO78" i="5"/>
  <c r="DC77" i="5"/>
  <c r="DB77" i="5"/>
  <c r="AQ77" i="5"/>
  <c r="AP77" i="5"/>
  <c r="AO77" i="5"/>
  <c r="DC76" i="5"/>
  <c r="DB76" i="5"/>
  <c r="AQ76" i="5"/>
  <c r="AP76" i="5"/>
  <c r="AO76" i="5"/>
  <c r="DC75" i="5"/>
  <c r="DB75" i="5"/>
  <c r="AQ75" i="5"/>
  <c r="AP75" i="5"/>
  <c r="AO75" i="5"/>
  <c r="DC74" i="5"/>
  <c r="DB74" i="5"/>
  <c r="AQ74" i="5"/>
  <c r="AP74" i="5"/>
  <c r="AO74" i="5"/>
  <c r="DC73" i="5"/>
  <c r="DB73" i="5"/>
  <c r="AQ73" i="5"/>
  <c r="AP73" i="5"/>
  <c r="AO73" i="5"/>
  <c r="DC72" i="5"/>
  <c r="DB72" i="5"/>
  <c r="AQ72" i="5"/>
  <c r="AP72" i="5"/>
  <c r="AO72" i="5"/>
  <c r="DC71" i="5"/>
  <c r="DB71" i="5"/>
  <c r="AQ71" i="5"/>
  <c r="AP71" i="5"/>
  <c r="AO71" i="5"/>
  <c r="DC70" i="5"/>
  <c r="DB70" i="5"/>
  <c r="AQ70" i="5"/>
  <c r="AP70" i="5"/>
  <c r="AO70" i="5"/>
  <c r="DC69" i="5"/>
  <c r="DB69" i="5"/>
  <c r="AQ69" i="5"/>
  <c r="AP69" i="5"/>
  <c r="AO69" i="5"/>
  <c r="DC68" i="5"/>
  <c r="DB68" i="5"/>
  <c r="AQ68" i="5"/>
  <c r="AP68" i="5"/>
  <c r="AO68" i="5"/>
  <c r="DC67" i="5"/>
  <c r="DB67" i="5"/>
  <c r="AQ67" i="5"/>
  <c r="AP67" i="5"/>
  <c r="AO67" i="5"/>
  <c r="DC66" i="5"/>
  <c r="DB66" i="5"/>
  <c r="AQ66" i="5"/>
  <c r="AP66" i="5"/>
  <c r="AO66" i="5"/>
  <c r="DC65" i="5"/>
  <c r="DB65" i="5"/>
  <c r="AQ65" i="5"/>
  <c r="AP65" i="5"/>
  <c r="AO65" i="5"/>
  <c r="DC64" i="5"/>
  <c r="DB64" i="5"/>
  <c r="AQ64" i="5"/>
  <c r="AP64" i="5"/>
  <c r="AO64" i="5"/>
  <c r="DC63" i="5"/>
  <c r="DB63" i="5"/>
  <c r="AQ63" i="5"/>
  <c r="AP63" i="5"/>
  <c r="AO63" i="5"/>
  <c r="DC62" i="5"/>
  <c r="DB62" i="5"/>
  <c r="AQ62" i="5"/>
  <c r="AP62" i="5"/>
  <c r="AO62" i="5"/>
  <c r="DC61" i="5"/>
  <c r="DB61" i="5"/>
  <c r="AQ61" i="5"/>
  <c r="AP61" i="5"/>
  <c r="AO61" i="5"/>
  <c r="DC60" i="5"/>
  <c r="DB60" i="5"/>
  <c r="AQ60" i="5"/>
  <c r="AP60" i="5"/>
  <c r="AO60" i="5"/>
  <c r="DC59" i="5"/>
  <c r="DB59" i="5"/>
  <c r="AQ59" i="5"/>
  <c r="AP59" i="5"/>
  <c r="AO59" i="5"/>
  <c r="DC58" i="5"/>
  <c r="DB58" i="5"/>
  <c r="AQ58" i="5"/>
  <c r="AP58" i="5"/>
  <c r="AO58" i="5"/>
  <c r="DC57" i="5"/>
  <c r="DB57" i="5"/>
  <c r="AQ57" i="5"/>
  <c r="AP57" i="5"/>
  <c r="AO57" i="5"/>
  <c r="DC56" i="5"/>
  <c r="DB56" i="5"/>
  <c r="AQ56" i="5"/>
  <c r="AP56" i="5"/>
  <c r="AO56" i="5"/>
  <c r="DC55" i="5"/>
  <c r="DB55" i="5"/>
  <c r="AQ55" i="5"/>
  <c r="AP55" i="5"/>
  <c r="AO55" i="5"/>
  <c r="DC54" i="5"/>
  <c r="DB54" i="5"/>
  <c r="AQ54" i="5"/>
  <c r="AP54" i="5"/>
  <c r="AO54" i="5"/>
  <c r="DC53" i="5"/>
  <c r="DB53" i="5"/>
  <c r="AQ53" i="5"/>
  <c r="AP53" i="5"/>
  <c r="AO53" i="5"/>
  <c r="DC52" i="5"/>
  <c r="DB52" i="5"/>
  <c r="AQ52" i="5"/>
  <c r="AP52" i="5"/>
  <c r="AO52" i="5"/>
  <c r="DC51" i="5"/>
  <c r="DB51" i="5"/>
  <c r="AQ51" i="5"/>
  <c r="AP51" i="5"/>
  <c r="AO51" i="5"/>
  <c r="DC50" i="5"/>
  <c r="DB50" i="5"/>
  <c r="AQ50" i="5"/>
  <c r="AP50" i="5"/>
  <c r="AO50" i="5"/>
  <c r="DC49" i="5"/>
  <c r="DB49" i="5"/>
  <c r="AQ49" i="5"/>
  <c r="AP49" i="5"/>
  <c r="AO49" i="5"/>
  <c r="DC48" i="5"/>
  <c r="DB48" i="5"/>
  <c r="AQ48" i="5"/>
  <c r="AP48" i="5"/>
  <c r="AO48" i="5"/>
  <c r="DC47" i="5"/>
  <c r="DB47" i="5"/>
  <c r="AQ47" i="5"/>
  <c r="AP47" i="5"/>
  <c r="AO47" i="5"/>
  <c r="DC46" i="5"/>
  <c r="DB46" i="5"/>
  <c r="AQ46" i="5"/>
  <c r="AP46" i="5"/>
  <c r="AO46" i="5"/>
  <c r="DC45" i="5"/>
  <c r="DB45" i="5"/>
  <c r="AQ45" i="5"/>
  <c r="AP45" i="5"/>
  <c r="AO45" i="5"/>
  <c r="DC44" i="5"/>
  <c r="DB44" i="5"/>
  <c r="AQ44" i="5"/>
  <c r="AP44" i="5"/>
  <c r="AO44" i="5"/>
  <c r="DC43" i="5"/>
  <c r="DB43" i="5"/>
  <c r="AQ43" i="5"/>
  <c r="AP43" i="5"/>
  <c r="AO43" i="5"/>
  <c r="DC42" i="5"/>
  <c r="DB42" i="5"/>
  <c r="AQ42" i="5"/>
  <c r="AP42" i="5"/>
  <c r="AO42" i="5"/>
  <c r="DC41" i="5"/>
  <c r="DB41" i="5"/>
  <c r="AQ41" i="5"/>
  <c r="AP41" i="5"/>
  <c r="AO41" i="5"/>
  <c r="DC40" i="5"/>
  <c r="DB40" i="5"/>
  <c r="AQ40" i="5"/>
  <c r="AP40" i="5"/>
  <c r="AO40" i="5"/>
  <c r="DC39" i="5"/>
  <c r="DB39" i="5"/>
  <c r="AQ39" i="5"/>
  <c r="AP39" i="5"/>
  <c r="AO39" i="5"/>
  <c r="DC38" i="5"/>
  <c r="DB38" i="5"/>
  <c r="AQ38" i="5"/>
  <c r="AP38" i="5"/>
  <c r="AO38" i="5"/>
  <c r="DC37" i="5"/>
  <c r="DB37" i="5"/>
  <c r="AQ37" i="5"/>
  <c r="AP37" i="5"/>
  <c r="AO37" i="5"/>
  <c r="DC36" i="5"/>
  <c r="DB36" i="5"/>
  <c r="AQ36" i="5"/>
  <c r="AP36" i="5"/>
  <c r="AO36" i="5"/>
  <c r="DC35" i="5"/>
  <c r="DB35" i="5"/>
  <c r="AQ35" i="5"/>
  <c r="AP35" i="5"/>
  <c r="AO35" i="5"/>
  <c r="DC34" i="5"/>
  <c r="DB34" i="5"/>
  <c r="AQ34" i="5"/>
  <c r="AP34" i="5"/>
  <c r="AO34" i="5"/>
  <c r="DC33" i="5"/>
  <c r="DB33" i="5"/>
  <c r="AQ33" i="5"/>
  <c r="AP33" i="5"/>
  <c r="AO33" i="5"/>
  <c r="DC32" i="5"/>
  <c r="DB32" i="5"/>
  <c r="AQ32" i="5"/>
  <c r="AP32" i="5"/>
  <c r="AO32" i="5"/>
  <c r="DC31" i="5"/>
  <c r="DB31" i="5"/>
  <c r="AQ31" i="5"/>
  <c r="AP31" i="5"/>
  <c r="AO31" i="5"/>
  <c r="DC30" i="5"/>
  <c r="DB30" i="5"/>
  <c r="AQ30" i="5"/>
  <c r="AP30" i="5"/>
  <c r="AO30" i="5"/>
  <c r="DC29" i="5"/>
  <c r="DB29" i="5"/>
  <c r="AQ29" i="5"/>
  <c r="AP29" i="5"/>
  <c r="AO29" i="5"/>
  <c r="DC28" i="5"/>
  <c r="DB28" i="5"/>
  <c r="AQ28" i="5"/>
  <c r="AP28" i="5"/>
  <c r="AO28" i="5"/>
  <c r="DC27" i="5"/>
  <c r="DB27" i="5"/>
  <c r="AQ27" i="5"/>
  <c r="AP27" i="5"/>
  <c r="AO27" i="5"/>
  <c r="DC26" i="5"/>
  <c r="DB26" i="5"/>
  <c r="AQ26" i="5"/>
  <c r="AP26" i="5"/>
  <c r="AO26" i="5"/>
  <c r="DC25" i="5"/>
  <c r="DB25" i="5"/>
  <c r="AQ25" i="5"/>
  <c r="AP25" i="5"/>
  <c r="AO25" i="5"/>
  <c r="DC24" i="5"/>
  <c r="DB24" i="5"/>
  <c r="AQ24" i="5"/>
  <c r="AP24" i="5"/>
  <c r="AO24" i="5"/>
  <c r="DC23" i="5"/>
  <c r="DB23" i="5"/>
  <c r="AQ23" i="5"/>
  <c r="AP23" i="5"/>
  <c r="AO23" i="5"/>
  <c r="DC22" i="5"/>
  <c r="DB22" i="5"/>
  <c r="AQ22" i="5"/>
  <c r="AP22" i="5"/>
  <c r="AO22" i="5"/>
  <c r="DC21" i="5"/>
  <c r="DB21" i="5"/>
  <c r="AQ21" i="5"/>
  <c r="AP21" i="5"/>
  <c r="AO21" i="5"/>
  <c r="DC20" i="5"/>
  <c r="DB20" i="5"/>
  <c r="AQ20" i="5"/>
  <c r="AP20" i="5"/>
  <c r="AO20" i="5"/>
  <c r="DC19" i="5"/>
  <c r="DB19" i="5"/>
  <c r="AQ19" i="5"/>
  <c r="AP19" i="5"/>
  <c r="AO19" i="5"/>
  <c r="DC18" i="5"/>
  <c r="DB18" i="5"/>
  <c r="AQ18" i="5"/>
  <c r="AP18" i="5"/>
  <c r="AO18" i="5"/>
  <c r="DC17" i="5"/>
  <c r="DB17" i="5"/>
  <c r="AQ17" i="5"/>
  <c r="AP17" i="5"/>
  <c r="AO17" i="5"/>
  <c r="DC16" i="5"/>
  <c r="DB16" i="5"/>
  <c r="AQ16" i="5"/>
  <c r="AP16" i="5"/>
  <c r="AO16" i="5"/>
  <c r="DC15" i="5"/>
  <c r="DB15" i="5"/>
  <c r="AQ15" i="5"/>
  <c r="AP15" i="5"/>
  <c r="AO15" i="5"/>
  <c r="DC14" i="5"/>
  <c r="DB14" i="5"/>
  <c r="AQ14" i="5"/>
  <c r="AP14" i="5"/>
  <c r="AO14" i="5"/>
  <c r="DC13" i="5"/>
  <c r="DB13" i="5"/>
  <c r="AQ13" i="5"/>
  <c r="AP13" i="5"/>
  <c r="AO13" i="5"/>
  <c r="DC12" i="5"/>
  <c r="DB12" i="5"/>
  <c r="AQ12" i="5"/>
  <c r="AP12" i="5"/>
  <c r="AO12" i="5"/>
  <c r="DC11" i="5"/>
  <c r="DB11" i="5"/>
  <c r="AQ11" i="5"/>
  <c r="AP11" i="5"/>
  <c r="AO11" i="5"/>
  <c r="DC10" i="5"/>
  <c r="DB10" i="5"/>
  <c r="AQ10" i="5"/>
  <c r="AP10" i="5"/>
  <c r="AO10" i="5"/>
  <c r="DC9" i="5"/>
  <c r="DB9" i="5"/>
  <c r="AQ9" i="5"/>
  <c r="AP9" i="5"/>
  <c r="AO9" i="5"/>
  <c r="DC8" i="5"/>
  <c r="DB8" i="5"/>
  <c r="AQ8" i="5"/>
  <c r="AP8" i="5"/>
  <c r="AO8" i="5"/>
  <c r="DC7" i="5"/>
  <c r="DB7" i="5"/>
  <c r="AQ7" i="5"/>
  <c r="AP7" i="5"/>
  <c r="AO7" i="5"/>
  <c r="DC6" i="5"/>
  <c r="DB6" i="5"/>
  <c r="AQ6" i="5"/>
  <c r="AP6" i="5"/>
  <c r="AO6" i="5"/>
  <c r="AL121" i="5"/>
  <c r="AK121" i="5"/>
  <c r="AI121" i="5"/>
  <c r="AH121" i="5"/>
  <c r="AG121" i="5"/>
  <c r="AF121" i="5"/>
  <c r="AE121" i="5"/>
  <c r="AL120" i="5"/>
  <c r="AK120" i="5"/>
  <c r="AI120" i="5"/>
  <c r="AH120" i="5"/>
  <c r="AG120" i="5"/>
  <c r="AF120" i="5"/>
  <c r="AE120" i="5"/>
  <c r="AL119" i="5"/>
  <c r="AK119" i="5"/>
  <c r="AI119" i="5"/>
  <c r="AH119" i="5"/>
  <c r="AG119" i="5"/>
  <c r="AF119" i="5"/>
  <c r="AE119" i="5"/>
  <c r="AL118" i="5"/>
  <c r="AK118" i="5"/>
  <c r="AI118" i="5"/>
  <c r="AH118" i="5"/>
  <c r="AG118" i="5"/>
  <c r="AF118" i="5"/>
  <c r="AE118" i="5"/>
  <c r="AL117" i="5"/>
  <c r="AK117" i="5"/>
  <c r="AI117" i="5"/>
  <c r="AH117" i="5"/>
  <c r="AG117" i="5"/>
  <c r="AF117" i="5"/>
  <c r="AE117" i="5"/>
  <c r="AL116" i="5"/>
  <c r="AK116" i="5"/>
  <c r="AI116" i="5"/>
  <c r="AH116" i="5"/>
  <c r="AG116" i="5"/>
  <c r="AF116" i="5"/>
  <c r="AE116" i="5"/>
  <c r="AL115" i="5"/>
  <c r="AK115" i="5"/>
  <c r="AI115" i="5"/>
  <c r="AH115" i="5"/>
  <c r="AG115" i="5"/>
  <c r="AF115" i="5"/>
  <c r="AE115" i="5"/>
  <c r="AL114" i="5"/>
  <c r="AK114" i="5"/>
  <c r="AI114" i="5"/>
  <c r="AH114" i="5"/>
  <c r="AG114" i="5"/>
  <c r="AF114" i="5"/>
  <c r="AE114" i="5"/>
  <c r="AL113" i="5"/>
  <c r="AK113" i="5"/>
  <c r="AI113" i="5"/>
  <c r="AH113" i="5"/>
  <c r="AG113" i="5"/>
  <c r="AF113" i="5"/>
  <c r="AE113" i="5"/>
  <c r="AL112" i="5"/>
  <c r="AK112" i="5"/>
  <c r="AI112" i="5"/>
  <c r="AH112" i="5"/>
  <c r="AG112" i="5"/>
  <c r="AF112" i="5"/>
  <c r="AE112" i="5"/>
  <c r="AL111" i="5"/>
  <c r="AK111" i="5"/>
  <c r="AI111" i="5"/>
  <c r="AH111" i="5"/>
  <c r="AG111" i="5"/>
  <c r="AF111" i="5"/>
  <c r="AE111" i="5"/>
  <c r="AL110" i="5"/>
  <c r="AK110" i="5"/>
  <c r="AI110" i="5"/>
  <c r="AH110" i="5"/>
  <c r="AG110" i="5"/>
  <c r="AF110" i="5"/>
  <c r="AE110" i="5"/>
  <c r="AL109" i="5"/>
  <c r="AK109" i="5"/>
  <c r="AI109" i="5"/>
  <c r="AH109" i="5"/>
  <c r="AG109" i="5"/>
  <c r="AF109" i="5"/>
  <c r="AE109" i="5"/>
  <c r="AL108" i="5"/>
  <c r="AK108" i="5"/>
  <c r="AI108" i="5"/>
  <c r="AH108" i="5"/>
  <c r="AG108" i="5"/>
  <c r="AF108" i="5"/>
  <c r="AE108" i="5"/>
  <c r="AL107" i="5"/>
  <c r="AK107" i="5"/>
  <c r="AI107" i="5"/>
  <c r="AH107" i="5"/>
  <c r="AG107" i="5"/>
  <c r="AF107" i="5"/>
  <c r="AE107" i="5"/>
  <c r="AL106" i="5"/>
  <c r="AK106" i="5"/>
  <c r="AI106" i="5"/>
  <c r="AH106" i="5"/>
  <c r="AG106" i="5"/>
  <c r="AF106" i="5"/>
  <c r="AE106" i="5"/>
  <c r="AL105" i="5"/>
  <c r="AK105" i="5"/>
  <c r="AI105" i="5"/>
  <c r="AH105" i="5"/>
  <c r="AG105" i="5"/>
  <c r="AF105" i="5"/>
  <c r="AE105" i="5"/>
  <c r="AL104" i="5"/>
  <c r="AK104" i="5"/>
  <c r="AI104" i="5"/>
  <c r="AH104" i="5"/>
  <c r="AG104" i="5"/>
  <c r="AF104" i="5"/>
  <c r="AE104" i="5"/>
  <c r="AL103" i="5"/>
  <c r="AK103" i="5"/>
  <c r="AI103" i="5"/>
  <c r="AH103" i="5"/>
  <c r="AG103" i="5"/>
  <c r="AF103" i="5"/>
  <c r="AE103" i="5"/>
  <c r="AL102" i="5"/>
  <c r="AK102" i="5"/>
  <c r="AI102" i="5"/>
  <c r="AH102" i="5"/>
  <c r="AG102" i="5"/>
  <c r="AF102" i="5"/>
  <c r="AE102" i="5"/>
  <c r="AL101" i="5"/>
  <c r="AK101" i="5"/>
  <c r="AI101" i="5"/>
  <c r="AH101" i="5"/>
  <c r="AG101" i="5"/>
  <c r="AF101" i="5"/>
  <c r="AE101" i="5"/>
  <c r="AL100" i="5"/>
  <c r="AK100" i="5"/>
  <c r="AI100" i="5"/>
  <c r="AH100" i="5"/>
  <c r="AG100" i="5"/>
  <c r="AF100" i="5"/>
  <c r="AE100" i="5"/>
  <c r="AL99" i="5"/>
  <c r="AK99" i="5"/>
  <c r="AI99" i="5"/>
  <c r="AH99" i="5"/>
  <c r="AG99" i="5"/>
  <c r="AF99" i="5"/>
  <c r="AE99" i="5"/>
  <c r="AL98" i="5"/>
  <c r="AK98" i="5"/>
  <c r="AI98" i="5"/>
  <c r="AH98" i="5"/>
  <c r="AG98" i="5"/>
  <c r="AF98" i="5"/>
  <c r="AE98" i="5"/>
  <c r="AL97" i="5"/>
  <c r="AK97" i="5"/>
  <c r="AI97" i="5"/>
  <c r="AH97" i="5"/>
  <c r="AG97" i="5"/>
  <c r="AF97" i="5"/>
  <c r="AE97" i="5"/>
  <c r="AL96" i="5"/>
  <c r="AK96" i="5"/>
  <c r="AI96" i="5"/>
  <c r="AH96" i="5"/>
  <c r="AG96" i="5"/>
  <c r="AF96" i="5"/>
  <c r="AE96" i="5"/>
  <c r="AL95" i="5"/>
  <c r="AK95" i="5"/>
  <c r="AI95" i="5"/>
  <c r="AH95" i="5"/>
  <c r="AG95" i="5"/>
  <c r="AF95" i="5"/>
  <c r="AE95" i="5"/>
  <c r="AL94" i="5"/>
  <c r="AK94" i="5"/>
  <c r="AI94" i="5"/>
  <c r="AH94" i="5"/>
  <c r="AG94" i="5"/>
  <c r="AF94" i="5"/>
  <c r="AE94" i="5"/>
  <c r="AL93" i="5"/>
  <c r="AK93" i="5"/>
  <c r="AI93" i="5"/>
  <c r="AH93" i="5"/>
  <c r="AG93" i="5"/>
  <c r="AF93" i="5"/>
  <c r="AE93" i="5"/>
  <c r="AL92" i="5"/>
  <c r="AK92" i="5"/>
  <c r="AI92" i="5"/>
  <c r="AH92" i="5"/>
  <c r="AG92" i="5"/>
  <c r="AF92" i="5"/>
  <c r="AE92" i="5"/>
  <c r="AL91" i="5"/>
  <c r="AK91" i="5"/>
  <c r="AI91" i="5"/>
  <c r="AH91" i="5"/>
  <c r="AG91" i="5"/>
  <c r="AF91" i="5"/>
  <c r="AE91" i="5"/>
  <c r="AL90" i="5"/>
  <c r="AK90" i="5"/>
  <c r="AI90" i="5"/>
  <c r="AH90" i="5"/>
  <c r="AG90" i="5"/>
  <c r="AF90" i="5"/>
  <c r="AE90" i="5"/>
  <c r="AL89" i="5"/>
  <c r="AK89" i="5"/>
  <c r="AI89" i="5"/>
  <c r="AH89" i="5"/>
  <c r="AG89" i="5"/>
  <c r="AF89" i="5"/>
  <c r="AE89" i="5"/>
  <c r="AL88" i="5"/>
  <c r="AK88" i="5"/>
  <c r="AI88" i="5"/>
  <c r="AH88" i="5"/>
  <c r="AG88" i="5"/>
  <c r="AF88" i="5"/>
  <c r="AE88" i="5"/>
  <c r="AL87" i="5"/>
  <c r="AK87" i="5"/>
  <c r="AI87" i="5"/>
  <c r="AH87" i="5"/>
  <c r="AG87" i="5"/>
  <c r="AF87" i="5"/>
  <c r="AE87" i="5"/>
  <c r="AL86" i="5"/>
  <c r="AK86" i="5"/>
  <c r="AI86" i="5"/>
  <c r="AH86" i="5"/>
  <c r="AG86" i="5"/>
  <c r="AF86" i="5"/>
  <c r="AE86" i="5"/>
  <c r="AL85" i="5"/>
  <c r="AK85" i="5"/>
  <c r="AI85" i="5"/>
  <c r="AH85" i="5"/>
  <c r="AG85" i="5"/>
  <c r="AF85" i="5"/>
  <c r="AE85" i="5"/>
  <c r="AL84" i="5"/>
  <c r="AK84" i="5"/>
  <c r="AI84" i="5"/>
  <c r="AH84" i="5"/>
  <c r="AG84" i="5"/>
  <c r="AF84" i="5"/>
  <c r="AE84" i="5"/>
  <c r="AL83" i="5"/>
  <c r="AK83" i="5"/>
  <c r="AI83" i="5"/>
  <c r="AH83" i="5"/>
  <c r="AG83" i="5"/>
  <c r="AF83" i="5"/>
  <c r="AE83" i="5"/>
  <c r="AL82" i="5"/>
  <c r="AK82" i="5"/>
  <c r="AI82" i="5"/>
  <c r="AH82" i="5"/>
  <c r="AG82" i="5"/>
  <c r="AF82" i="5"/>
  <c r="AE82" i="5"/>
  <c r="AL81" i="5"/>
  <c r="AK81" i="5"/>
  <c r="AI81" i="5"/>
  <c r="AH81" i="5"/>
  <c r="AG81" i="5"/>
  <c r="AF81" i="5"/>
  <c r="AE81" i="5"/>
  <c r="AL80" i="5"/>
  <c r="AK80" i="5"/>
  <c r="AI80" i="5"/>
  <c r="AH80" i="5"/>
  <c r="AG80" i="5"/>
  <c r="AF80" i="5"/>
  <c r="AE80" i="5"/>
  <c r="AL79" i="5"/>
  <c r="AK79" i="5"/>
  <c r="AI79" i="5"/>
  <c r="AH79" i="5"/>
  <c r="AG79" i="5"/>
  <c r="AF79" i="5"/>
  <c r="AE79" i="5"/>
  <c r="AL78" i="5"/>
  <c r="AK78" i="5"/>
  <c r="AI78" i="5"/>
  <c r="AH78" i="5"/>
  <c r="AG78" i="5"/>
  <c r="AF78" i="5"/>
  <c r="AE78" i="5"/>
  <c r="AL77" i="5"/>
  <c r="AK77" i="5"/>
  <c r="AI77" i="5"/>
  <c r="AH77" i="5"/>
  <c r="AG77" i="5"/>
  <c r="AF77" i="5"/>
  <c r="AE77" i="5"/>
  <c r="AL76" i="5"/>
  <c r="AK76" i="5"/>
  <c r="AI76" i="5"/>
  <c r="AH76" i="5"/>
  <c r="AG76" i="5"/>
  <c r="AF76" i="5"/>
  <c r="AE76" i="5"/>
  <c r="AL75" i="5"/>
  <c r="AK75" i="5"/>
  <c r="AI75" i="5"/>
  <c r="AH75" i="5"/>
  <c r="AG75" i="5"/>
  <c r="AF75" i="5"/>
  <c r="AE75" i="5"/>
  <c r="AL74" i="5"/>
  <c r="AK74" i="5"/>
  <c r="AI74" i="5"/>
  <c r="AH74" i="5"/>
  <c r="AG74" i="5"/>
  <c r="AF74" i="5"/>
  <c r="AE74" i="5"/>
  <c r="AL73" i="5"/>
  <c r="AK73" i="5"/>
  <c r="AI73" i="5"/>
  <c r="AH73" i="5"/>
  <c r="AG73" i="5"/>
  <c r="AF73" i="5"/>
  <c r="AE73" i="5"/>
  <c r="AL72" i="5"/>
  <c r="AK72" i="5"/>
  <c r="AI72" i="5"/>
  <c r="AH72" i="5"/>
  <c r="AG72" i="5"/>
  <c r="AF72" i="5"/>
  <c r="AE72" i="5"/>
  <c r="AL71" i="5"/>
  <c r="AK71" i="5"/>
  <c r="AI71" i="5"/>
  <c r="AH71" i="5"/>
  <c r="AG71" i="5"/>
  <c r="AF71" i="5"/>
  <c r="AE71" i="5"/>
  <c r="AL70" i="5"/>
  <c r="AK70" i="5"/>
  <c r="AI70" i="5"/>
  <c r="AH70" i="5"/>
  <c r="AG70" i="5"/>
  <c r="AF70" i="5"/>
  <c r="AE70" i="5"/>
  <c r="AL69" i="5"/>
  <c r="AK69" i="5"/>
  <c r="AI69" i="5"/>
  <c r="AH69" i="5"/>
  <c r="AG69" i="5"/>
  <c r="AF69" i="5"/>
  <c r="AE69" i="5"/>
  <c r="AL68" i="5"/>
  <c r="AK68" i="5"/>
  <c r="AI68" i="5"/>
  <c r="AH68" i="5"/>
  <c r="AG68" i="5"/>
  <c r="AF68" i="5"/>
  <c r="AE68" i="5"/>
  <c r="AL67" i="5"/>
  <c r="AK67" i="5"/>
  <c r="AI67" i="5"/>
  <c r="AH67" i="5"/>
  <c r="AG67" i="5"/>
  <c r="AF67" i="5"/>
  <c r="AE67" i="5"/>
  <c r="AL66" i="5"/>
  <c r="AK66" i="5"/>
  <c r="AI66" i="5"/>
  <c r="AH66" i="5"/>
  <c r="AG66" i="5"/>
  <c r="AF66" i="5"/>
  <c r="AE66" i="5"/>
  <c r="AL65" i="5"/>
  <c r="AK65" i="5"/>
  <c r="AI65" i="5"/>
  <c r="AH65" i="5"/>
  <c r="AG65" i="5"/>
  <c r="AF65" i="5"/>
  <c r="AE65" i="5"/>
  <c r="AL64" i="5"/>
  <c r="AK64" i="5"/>
  <c r="AI64" i="5"/>
  <c r="AH64" i="5"/>
  <c r="AG64" i="5"/>
  <c r="AF64" i="5"/>
  <c r="AE64" i="5"/>
  <c r="AL63" i="5"/>
  <c r="AK63" i="5"/>
  <c r="AI63" i="5"/>
  <c r="AH63" i="5"/>
  <c r="AG63" i="5"/>
  <c r="AF63" i="5"/>
  <c r="AE63" i="5"/>
  <c r="AL62" i="5"/>
  <c r="AK62" i="5"/>
  <c r="AI62" i="5"/>
  <c r="AH62" i="5"/>
  <c r="AG62" i="5"/>
  <c r="AF62" i="5"/>
  <c r="AE62" i="5"/>
  <c r="AL61" i="5"/>
  <c r="AK61" i="5"/>
  <c r="AI61" i="5"/>
  <c r="AH61" i="5"/>
  <c r="AG61" i="5"/>
  <c r="AF61" i="5"/>
  <c r="AE61" i="5"/>
  <c r="AL60" i="5"/>
  <c r="AK60" i="5"/>
  <c r="AI60" i="5"/>
  <c r="AH60" i="5"/>
  <c r="AG60" i="5"/>
  <c r="AF60" i="5"/>
  <c r="AE60" i="5"/>
  <c r="AL59" i="5"/>
  <c r="AK59" i="5"/>
  <c r="AI59" i="5"/>
  <c r="AH59" i="5"/>
  <c r="AG59" i="5"/>
  <c r="AF59" i="5"/>
  <c r="AE59" i="5"/>
  <c r="AL58" i="5"/>
  <c r="AK58" i="5"/>
  <c r="AI58" i="5"/>
  <c r="AH58" i="5"/>
  <c r="AG58" i="5"/>
  <c r="AF58" i="5"/>
  <c r="AE58" i="5"/>
  <c r="AL57" i="5"/>
  <c r="AK57" i="5"/>
  <c r="AI57" i="5"/>
  <c r="AH57" i="5"/>
  <c r="AG57" i="5"/>
  <c r="AF57" i="5"/>
  <c r="AE57" i="5"/>
  <c r="AL56" i="5"/>
  <c r="AK56" i="5"/>
  <c r="AI56" i="5"/>
  <c r="AH56" i="5"/>
  <c r="AG56" i="5"/>
  <c r="AF56" i="5"/>
  <c r="AE56" i="5"/>
  <c r="AL55" i="5"/>
  <c r="AK55" i="5"/>
  <c r="AI55" i="5"/>
  <c r="AH55" i="5"/>
  <c r="AG55" i="5"/>
  <c r="AF55" i="5"/>
  <c r="AE55" i="5"/>
  <c r="AL54" i="5"/>
  <c r="AK54" i="5"/>
  <c r="AI54" i="5"/>
  <c r="AH54" i="5"/>
  <c r="AG54" i="5"/>
  <c r="AF54" i="5"/>
  <c r="AE54" i="5"/>
  <c r="AL53" i="5"/>
  <c r="AK53" i="5"/>
  <c r="AI53" i="5"/>
  <c r="AH53" i="5"/>
  <c r="AG53" i="5"/>
  <c r="AF53" i="5"/>
  <c r="AE53" i="5"/>
  <c r="AL52" i="5"/>
  <c r="AK52" i="5"/>
  <c r="AI52" i="5"/>
  <c r="AH52" i="5"/>
  <c r="AG52" i="5"/>
  <c r="AF52" i="5"/>
  <c r="AE52" i="5"/>
  <c r="AL51" i="5"/>
  <c r="AK51" i="5"/>
  <c r="AI51" i="5"/>
  <c r="AH51" i="5"/>
  <c r="AG51" i="5"/>
  <c r="AF51" i="5"/>
  <c r="AE51" i="5"/>
  <c r="AL50" i="5"/>
  <c r="AK50" i="5"/>
  <c r="AI50" i="5"/>
  <c r="AH50" i="5"/>
  <c r="AG50" i="5"/>
  <c r="AF50" i="5"/>
  <c r="AE50" i="5"/>
  <c r="AL49" i="5"/>
  <c r="AK49" i="5"/>
  <c r="AI49" i="5"/>
  <c r="AH49" i="5"/>
  <c r="AG49" i="5"/>
  <c r="AF49" i="5"/>
  <c r="AE49" i="5"/>
  <c r="AL48" i="5"/>
  <c r="AK48" i="5"/>
  <c r="AI48" i="5"/>
  <c r="AH48" i="5"/>
  <c r="AG48" i="5"/>
  <c r="AF48" i="5"/>
  <c r="AE48" i="5"/>
  <c r="AL47" i="5"/>
  <c r="AK47" i="5"/>
  <c r="AI47" i="5"/>
  <c r="AH47" i="5"/>
  <c r="AG47" i="5"/>
  <c r="AF47" i="5"/>
  <c r="AE47" i="5"/>
  <c r="AL46" i="5"/>
  <c r="AK46" i="5"/>
  <c r="AI46" i="5"/>
  <c r="AH46" i="5"/>
  <c r="AG46" i="5"/>
  <c r="AF46" i="5"/>
  <c r="AE46" i="5"/>
  <c r="AL45" i="5"/>
  <c r="AK45" i="5"/>
  <c r="AI45" i="5"/>
  <c r="AH45" i="5"/>
  <c r="AG45" i="5"/>
  <c r="AF45" i="5"/>
  <c r="AE45" i="5"/>
  <c r="AL44" i="5"/>
  <c r="AK44" i="5"/>
  <c r="AI44" i="5"/>
  <c r="AH44" i="5"/>
  <c r="AG44" i="5"/>
  <c r="AF44" i="5"/>
  <c r="AE44" i="5"/>
  <c r="AL43" i="5"/>
  <c r="AK43" i="5"/>
  <c r="AI43" i="5"/>
  <c r="AH43" i="5"/>
  <c r="AG43" i="5"/>
  <c r="AF43" i="5"/>
  <c r="AE43" i="5"/>
  <c r="AL42" i="5"/>
  <c r="AK42" i="5"/>
  <c r="AI42" i="5"/>
  <c r="AH42" i="5"/>
  <c r="AG42" i="5"/>
  <c r="AF42" i="5"/>
  <c r="AE42" i="5"/>
  <c r="AL41" i="5"/>
  <c r="AK41" i="5"/>
  <c r="AI41" i="5"/>
  <c r="AH41" i="5"/>
  <c r="AG41" i="5"/>
  <c r="AF41" i="5"/>
  <c r="AE41" i="5"/>
  <c r="AL40" i="5"/>
  <c r="AK40" i="5"/>
  <c r="AI40" i="5"/>
  <c r="AH40" i="5"/>
  <c r="AG40" i="5"/>
  <c r="AF40" i="5"/>
  <c r="AE40" i="5"/>
  <c r="AL39" i="5"/>
  <c r="AK39" i="5"/>
  <c r="AI39" i="5"/>
  <c r="AH39" i="5"/>
  <c r="AG39" i="5"/>
  <c r="AF39" i="5"/>
  <c r="AE39" i="5"/>
  <c r="AL38" i="5"/>
  <c r="AK38" i="5"/>
  <c r="AI38" i="5"/>
  <c r="AH38" i="5"/>
  <c r="AG38" i="5"/>
  <c r="AF38" i="5"/>
  <c r="AE38" i="5"/>
  <c r="AL37" i="5"/>
  <c r="AK37" i="5"/>
  <c r="AI37" i="5"/>
  <c r="AH37" i="5"/>
  <c r="AG37" i="5"/>
  <c r="AF37" i="5"/>
  <c r="AE37" i="5"/>
  <c r="AL36" i="5"/>
  <c r="AK36" i="5"/>
  <c r="AI36" i="5"/>
  <c r="AH36" i="5"/>
  <c r="AG36" i="5"/>
  <c r="AF36" i="5"/>
  <c r="AE36" i="5"/>
  <c r="AL35" i="5"/>
  <c r="AK35" i="5"/>
  <c r="AI35" i="5"/>
  <c r="AH35" i="5"/>
  <c r="AG35" i="5"/>
  <c r="AF35" i="5"/>
  <c r="AE35" i="5"/>
  <c r="AL34" i="5"/>
  <c r="AK34" i="5"/>
  <c r="AI34" i="5"/>
  <c r="AH34" i="5"/>
  <c r="AG34" i="5"/>
  <c r="AF34" i="5"/>
  <c r="AE34" i="5"/>
  <c r="AL33" i="5"/>
  <c r="AK33" i="5"/>
  <c r="AI33" i="5"/>
  <c r="AH33" i="5"/>
  <c r="AG33" i="5"/>
  <c r="AF33" i="5"/>
  <c r="AE33" i="5"/>
  <c r="AL32" i="5"/>
  <c r="AK32" i="5"/>
  <c r="AI32" i="5"/>
  <c r="AH32" i="5"/>
  <c r="AG32" i="5"/>
  <c r="AF32" i="5"/>
  <c r="AE32" i="5"/>
  <c r="AL31" i="5"/>
  <c r="AK31" i="5"/>
  <c r="AI31" i="5"/>
  <c r="AH31" i="5"/>
  <c r="AG31" i="5"/>
  <c r="AF31" i="5"/>
  <c r="AE31" i="5"/>
  <c r="AL30" i="5"/>
  <c r="AK30" i="5"/>
  <c r="AI30" i="5"/>
  <c r="AH30" i="5"/>
  <c r="AG30" i="5"/>
  <c r="AF30" i="5"/>
  <c r="AE30" i="5"/>
  <c r="AL29" i="5"/>
  <c r="AK29" i="5"/>
  <c r="AI29" i="5"/>
  <c r="AH29" i="5"/>
  <c r="AG29" i="5"/>
  <c r="AF29" i="5"/>
  <c r="AE29" i="5"/>
  <c r="AL28" i="5"/>
  <c r="AK28" i="5"/>
  <c r="AI28" i="5"/>
  <c r="AH28" i="5"/>
  <c r="AG28" i="5"/>
  <c r="AF28" i="5"/>
  <c r="AE28" i="5"/>
  <c r="AL27" i="5"/>
  <c r="AK27" i="5"/>
  <c r="AI27" i="5"/>
  <c r="AH27" i="5"/>
  <c r="AG27" i="5"/>
  <c r="AF27" i="5"/>
  <c r="AE27" i="5"/>
  <c r="AL26" i="5"/>
  <c r="AK26" i="5"/>
  <c r="AI26" i="5"/>
  <c r="AH26" i="5"/>
  <c r="AG26" i="5"/>
  <c r="AF26" i="5"/>
  <c r="AE26" i="5"/>
  <c r="AL25" i="5"/>
  <c r="AK25" i="5"/>
  <c r="AI25" i="5"/>
  <c r="AH25" i="5"/>
  <c r="AG25" i="5"/>
  <c r="AF25" i="5"/>
  <c r="AE25" i="5"/>
  <c r="AL24" i="5"/>
  <c r="AK24" i="5"/>
  <c r="AI24" i="5"/>
  <c r="AH24" i="5"/>
  <c r="AG24" i="5"/>
  <c r="AF24" i="5"/>
  <c r="AE24" i="5"/>
  <c r="AL23" i="5"/>
  <c r="AK23" i="5"/>
  <c r="AI23" i="5"/>
  <c r="AH23" i="5"/>
  <c r="AG23" i="5"/>
  <c r="AF23" i="5"/>
  <c r="AE23" i="5"/>
  <c r="AL22" i="5"/>
  <c r="AK22" i="5"/>
  <c r="AI22" i="5"/>
  <c r="AH22" i="5"/>
  <c r="AG22" i="5"/>
  <c r="AF22" i="5"/>
  <c r="AE22" i="5"/>
  <c r="AL21" i="5"/>
  <c r="AK21" i="5"/>
  <c r="AI21" i="5"/>
  <c r="AH21" i="5"/>
  <c r="AG21" i="5"/>
  <c r="AF21" i="5"/>
  <c r="AE21" i="5"/>
  <c r="AL20" i="5"/>
  <c r="AK20" i="5"/>
  <c r="AI20" i="5"/>
  <c r="AH20" i="5"/>
  <c r="AG20" i="5"/>
  <c r="AF20" i="5"/>
  <c r="AE20" i="5"/>
  <c r="AL19" i="5"/>
  <c r="AK19" i="5"/>
  <c r="AI19" i="5"/>
  <c r="AH19" i="5"/>
  <c r="AG19" i="5"/>
  <c r="AF19" i="5"/>
  <c r="AE19" i="5"/>
  <c r="AL18" i="5"/>
  <c r="AK18" i="5"/>
  <c r="AI18" i="5"/>
  <c r="AH18" i="5"/>
  <c r="AG18" i="5"/>
  <c r="AF18" i="5"/>
  <c r="AE18" i="5"/>
  <c r="AL17" i="5"/>
  <c r="AK17" i="5"/>
  <c r="AI17" i="5"/>
  <c r="AH17" i="5"/>
  <c r="AG17" i="5"/>
  <c r="AF17" i="5"/>
  <c r="AE17" i="5"/>
  <c r="AL16" i="5"/>
  <c r="AK16" i="5"/>
  <c r="AI16" i="5"/>
  <c r="AH16" i="5"/>
  <c r="AG16" i="5"/>
  <c r="AF16" i="5"/>
  <c r="AE16" i="5"/>
  <c r="AL15" i="5"/>
  <c r="AK15" i="5"/>
  <c r="AI15" i="5"/>
  <c r="AH15" i="5"/>
  <c r="AG15" i="5"/>
  <c r="AF15" i="5"/>
  <c r="AE15" i="5"/>
  <c r="AL14" i="5"/>
  <c r="AK14" i="5"/>
  <c r="AI14" i="5"/>
  <c r="AH14" i="5"/>
  <c r="AG14" i="5"/>
  <c r="AF14" i="5"/>
  <c r="AE14" i="5"/>
  <c r="AL13" i="5"/>
  <c r="AK13" i="5"/>
  <c r="AI13" i="5"/>
  <c r="AH13" i="5"/>
  <c r="AG13" i="5"/>
  <c r="AF13" i="5"/>
  <c r="AE13" i="5"/>
  <c r="AL12" i="5"/>
  <c r="AK12" i="5"/>
  <c r="AI12" i="5"/>
  <c r="AH12" i="5"/>
  <c r="AG12" i="5"/>
  <c r="AF12" i="5"/>
  <c r="AE12" i="5"/>
  <c r="AL11" i="5"/>
  <c r="AK11" i="5"/>
  <c r="AI11" i="5"/>
  <c r="AH11" i="5"/>
  <c r="AG11" i="5"/>
  <c r="AF11" i="5"/>
  <c r="AE11" i="5"/>
  <c r="AL10" i="5"/>
  <c r="AK10" i="5"/>
  <c r="AI10" i="5"/>
  <c r="AH10" i="5"/>
  <c r="AG10" i="5"/>
  <c r="AF10" i="5"/>
  <c r="AE10" i="5"/>
  <c r="AL9" i="5"/>
  <c r="AK9" i="5"/>
  <c r="AI9" i="5"/>
  <c r="AH9" i="5"/>
  <c r="AG9" i="5"/>
  <c r="AF9" i="5"/>
  <c r="AE9" i="5"/>
  <c r="AL8" i="5"/>
  <c r="AK8" i="5"/>
  <c r="AI8" i="5"/>
  <c r="AH8" i="5"/>
  <c r="AG8" i="5"/>
  <c r="AF8" i="5"/>
  <c r="AE8" i="5"/>
  <c r="AL7" i="5"/>
  <c r="AK7" i="5"/>
  <c r="AI7" i="5"/>
  <c r="AH7" i="5"/>
  <c r="AG7" i="5"/>
  <c r="AF7" i="5"/>
  <c r="AE7" i="5"/>
  <c r="AL6" i="5"/>
  <c r="AK6" i="5"/>
  <c r="AI6" i="5"/>
  <c r="AH6" i="5"/>
  <c r="AG6" i="5"/>
  <c r="AF6" i="5"/>
  <c r="AE6" i="5"/>
  <c r="CV121" i="5"/>
  <c r="CV120" i="5"/>
  <c r="CV119" i="5"/>
  <c r="CV118" i="5"/>
  <c r="CV117" i="5"/>
  <c r="CV116" i="5"/>
  <c r="CV115" i="5"/>
  <c r="CV114" i="5"/>
  <c r="CV113" i="5"/>
  <c r="CV112" i="5"/>
  <c r="CV111" i="5"/>
  <c r="CV110" i="5"/>
  <c r="CV109" i="5"/>
  <c r="CV108" i="5"/>
  <c r="CV107" i="5"/>
  <c r="CV106" i="5"/>
  <c r="CV105" i="5"/>
  <c r="CV104" i="5"/>
  <c r="CV103" i="5"/>
  <c r="CV102" i="5"/>
  <c r="CV101" i="5"/>
  <c r="CV100" i="5"/>
  <c r="CV99" i="5"/>
  <c r="CV98" i="5"/>
  <c r="CV97" i="5"/>
  <c r="CV96" i="5"/>
  <c r="CV95" i="5"/>
  <c r="CV94" i="5"/>
  <c r="CV93" i="5"/>
  <c r="CV92" i="5"/>
  <c r="CV91" i="5"/>
  <c r="CV90" i="5"/>
  <c r="CV89" i="5"/>
  <c r="CV88" i="5"/>
  <c r="CV87" i="5"/>
  <c r="CV86" i="5"/>
  <c r="CV85" i="5"/>
  <c r="CV84" i="5"/>
  <c r="CV83" i="5"/>
  <c r="CV82" i="5"/>
  <c r="CV81" i="5"/>
  <c r="CV80" i="5"/>
  <c r="CV79" i="5"/>
  <c r="CV78" i="5"/>
  <c r="CV77" i="5"/>
  <c r="CV76" i="5"/>
  <c r="CV75" i="5"/>
  <c r="CV74" i="5"/>
  <c r="CV73" i="5"/>
  <c r="CV72" i="5"/>
  <c r="CV71" i="5"/>
  <c r="CV70" i="5"/>
  <c r="CV69" i="5"/>
  <c r="CV68" i="5"/>
  <c r="CV67" i="5"/>
  <c r="CV66" i="5"/>
  <c r="CV65" i="5"/>
  <c r="CV64" i="5"/>
  <c r="CV63" i="5"/>
  <c r="CV62" i="5"/>
  <c r="CV61" i="5"/>
  <c r="CV60" i="5"/>
  <c r="CV59" i="5"/>
  <c r="CV58" i="5"/>
  <c r="CV57" i="5"/>
  <c r="CV56" i="5"/>
  <c r="CV55" i="5"/>
  <c r="CV54" i="5"/>
  <c r="CV53" i="5"/>
  <c r="CV52" i="5"/>
  <c r="CV51" i="5"/>
  <c r="CV50" i="5"/>
  <c r="CV49" i="5"/>
  <c r="CV48" i="5"/>
  <c r="CV47" i="5"/>
  <c r="CV46" i="5"/>
  <c r="CV45" i="5"/>
  <c r="CV44" i="5"/>
  <c r="CV43" i="5"/>
  <c r="CV42" i="5"/>
  <c r="CV41" i="5"/>
  <c r="CV40" i="5"/>
  <c r="CV39" i="5"/>
  <c r="CV38" i="5"/>
  <c r="CV37" i="5"/>
  <c r="CV36" i="5"/>
  <c r="CV35" i="5"/>
  <c r="CV34" i="5"/>
  <c r="CV33" i="5"/>
  <c r="CV32" i="5"/>
  <c r="CV31" i="5"/>
  <c r="CV30" i="5"/>
  <c r="CV29" i="5"/>
  <c r="CV28" i="5"/>
  <c r="CV27" i="5"/>
  <c r="CV26" i="5"/>
  <c r="CV25" i="5"/>
  <c r="CV24" i="5"/>
  <c r="CV23" i="5"/>
  <c r="CV22" i="5"/>
  <c r="CV21" i="5"/>
  <c r="CV20" i="5"/>
  <c r="CV19" i="5"/>
  <c r="CV18" i="5"/>
  <c r="CV17" i="5"/>
  <c r="CV16" i="5"/>
  <c r="CV15" i="5"/>
  <c r="CV14" i="5"/>
  <c r="CV13" i="5"/>
  <c r="CV12" i="5"/>
  <c r="CV11" i="5"/>
  <c r="CV10" i="5"/>
  <c r="CV9" i="5"/>
  <c r="CV8" i="5"/>
  <c r="CV7" i="5"/>
  <c r="CV6" i="5"/>
  <c r="CR121" i="5"/>
  <c r="CR120" i="5"/>
  <c r="CR119" i="5"/>
  <c r="CR118" i="5"/>
  <c r="CR117" i="5"/>
  <c r="CR116" i="5"/>
  <c r="CR115" i="5"/>
  <c r="CR114" i="5"/>
  <c r="CR113" i="5"/>
  <c r="CR112" i="5"/>
  <c r="CR111" i="5"/>
  <c r="CR110" i="5"/>
  <c r="CR109" i="5"/>
  <c r="CR108" i="5"/>
  <c r="CR107" i="5"/>
  <c r="CR106" i="5"/>
  <c r="CR105" i="5"/>
  <c r="CR104" i="5"/>
  <c r="CR103" i="5"/>
  <c r="CR102" i="5"/>
  <c r="CR101" i="5"/>
  <c r="CR100" i="5"/>
  <c r="CR99" i="5"/>
  <c r="CR98" i="5"/>
  <c r="CR97" i="5"/>
  <c r="CR96" i="5"/>
  <c r="CR95" i="5"/>
  <c r="CR94" i="5"/>
  <c r="CR93" i="5"/>
  <c r="CR92" i="5"/>
  <c r="CR91" i="5"/>
  <c r="CR90" i="5"/>
  <c r="CR89" i="5"/>
  <c r="CR88" i="5"/>
  <c r="CR87" i="5"/>
  <c r="CR86" i="5"/>
  <c r="CR85" i="5"/>
  <c r="CR84" i="5"/>
  <c r="CR83" i="5"/>
  <c r="CR82" i="5"/>
  <c r="CR81" i="5"/>
  <c r="CR80" i="5"/>
  <c r="CR79" i="5"/>
  <c r="CR78" i="5"/>
  <c r="CR77" i="5"/>
  <c r="CR76" i="5"/>
  <c r="CR75" i="5"/>
  <c r="CR74" i="5"/>
  <c r="CR73" i="5"/>
  <c r="CR72" i="5"/>
  <c r="CR71" i="5"/>
  <c r="CR70" i="5"/>
  <c r="CR69" i="5"/>
  <c r="CR68" i="5"/>
  <c r="CR67" i="5"/>
  <c r="CR66" i="5"/>
  <c r="CR65" i="5"/>
  <c r="CR64" i="5"/>
  <c r="CR63" i="5"/>
  <c r="CR62" i="5"/>
  <c r="CR61" i="5"/>
  <c r="CR60" i="5"/>
  <c r="CR59" i="5"/>
  <c r="CR58" i="5"/>
  <c r="CR57" i="5"/>
  <c r="CR56" i="5"/>
  <c r="CR55" i="5"/>
  <c r="CR54" i="5"/>
  <c r="CR53" i="5"/>
  <c r="CR52" i="5"/>
  <c r="CR51" i="5"/>
  <c r="CR50" i="5"/>
  <c r="CR49" i="5"/>
  <c r="CR48" i="5"/>
  <c r="CR47" i="5"/>
  <c r="CR46" i="5"/>
  <c r="CR45" i="5"/>
  <c r="CR44" i="5"/>
  <c r="CR43" i="5"/>
  <c r="CR42" i="5"/>
  <c r="CR41" i="5"/>
  <c r="CR40" i="5"/>
  <c r="CR39" i="5"/>
  <c r="CR38" i="5"/>
  <c r="CR36" i="5"/>
  <c r="CR35" i="5"/>
  <c r="CR34" i="5"/>
  <c r="CR33" i="5"/>
  <c r="CR32" i="5"/>
  <c r="CR31" i="5"/>
  <c r="CR30" i="5"/>
  <c r="CR29" i="5"/>
  <c r="CR28" i="5"/>
  <c r="CR27" i="5"/>
  <c r="CR26" i="5"/>
  <c r="CR25" i="5"/>
  <c r="CR24" i="5"/>
  <c r="CR23" i="5"/>
  <c r="CR22" i="5"/>
  <c r="CR21" i="5"/>
  <c r="CR20" i="5"/>
  <c r="CR19" i="5"/>
  <c r="CR18" i="5"/>
  <c r="CR17" i="5"/>
  <c r="CR16" i="5"/>
  <c r="CR15" i="5"/>
  <c r="CR14" i="5"/>
  <c r="CR13" i="5"/>
  <c r="CR12" i="5"/>
  <c r="CR11" i="5"/>
  <c r="CR10" i="5"/>
  <c r="CR9" i="5"/>
  <c r="CR8" i="5"/>
  <c r="CR7" i="5"/>
  <c r="CR6" i="5"/>
  <c r="CP121" i="5"/>
  <c r="CP120" i="5"/>
  <c r="CQ119" i="5"/>
  <c r="CP119" i="5"/>
  <c r="CQ118" i="5"/>
  <c r="CP118" i="5"/>
  <c r="CQ117" i="5"/>
  <c r="CP117" i="5"/>
  <c r="CQ116" i="5"/>
  <c r="CP116" i="5"/>
  <c r="CQ115" i="5"/>
  <c r="CP115" i="5"/>
  <c r="CQ114" i="5"/>
  <c r="CP114" i="5"/>
  <c r="CQ113" i="5"/>
  <c r="CP113" i="5"/>
  <c r="CQ112" i="5"/>
  <c r="CP112" i="5"/>
  <c r="CQ111" i="5"/>
  <c r="CP111" i="5"/>
  <c r="CQ110" i="5"/>
  <c r="CP110" i="5"/>
  <c r="CQ109" i="5"/>
  <c r="CP109" i="5"/>
  <c r="CQ108" i="5"/>
  <c r="CP108" i="5"/>
  <c r="CQ107" i="5"/>
  <c r="CP107" i="5"/>
  <c r="CQ106" i="5"/>
  <c r="CP106" i="5"/>
  <c r="CQ105" i="5"/>
  <c r="CP105" i="5"/>
  <c r="CQ104" i="5"/>
  <c r="CP104" i="5"/>
  <c r="CQ103" i="5"/>
  <c r="CP103" i="5"/>
  <c r="CQ102" i="5"/>
  <c r="CP102" i="5"/>
  <c r="CQ101" i="5"/>
  <c r="CP101" i="5"/>
  <c r="CQ100" i="5"/>
  <c r="CP100" i="5"/>
  <c r="CQ99" i="5"/>
  <c r="CP99" i="5"/>
  <c r="CQ98" i="5"/>
  <c r="CP98" i="5"/>
  <c r="CQ97" i="5"/>
  <c r="CP97" i="5"/>
  <c r="CP96" i="5"/>
  <c r="CQ95" i="5"/>
  <c r="CP95" i="5"/>
  <c r="CQ94" i="5"/>
  <c r="CP94" i="5"/>
  <c r="CQ93" i="5"/>
  <c r="CP93" i="5"/>
  <c r="CQ92" i="5"/>
  <c r="CP92" i="5"/>
  <c r="CP91" i="5"/>
  <c r="CP90" i="5"/>
  <c r="CQ89" i="5"/>
  <c r="CP89" i="5"/>
  <c r="CQ88" i="5"/>
  <c r="CP88" i="5"/>
  <c r="CQ87" i="5"/>
  <c r="CP87" i="5"/>
  <c r="CQ86" i="5"/>
  <c r="CP86" i="5"/>
  <c r="CQ85" i="5"/>
  <c r="CP85" i="5"/>
  <c r="CP84" i="5"/>
  <c r="CQ83" i="5"/>
  <c r="CP83" i="5"/>
  <c r="CQ82" i="5"/>
  <c r="CP82" i="5"/>
  <c r="CQ81" i="5"/>
  <c r="CP81" i="5"/>
  <c r="CQ80" i="5"/>
  <c r="CP80" i="5"/>
  <c r="CQ79" i="5"/>
  <c r="CP79" i="5"/>
  <c r="CQ78" i="5"/>
  <c r="CP78" i="5"/>
  <c r="CQ77" i="5"/>
  <c r="CP77" i="5"/>
  <c r="CQ76" i="5"/>
  <c r="CP76" i="5"/>
  <c r="CQ75" i="5"/>
  <c r="CP75" i="5"/>
  <c r="CQ74" i="5"/>
  <c r="CP74" i="5"/>
  <c r="CP73" i="5"/>
  <c r="CQ72" i="5"/>
  <c r="CP72" i="5"/>
  <c r="CQ71" i="5"/>
  <c r="CP71" i="5"/>
  <c r="CQ70" i="5"/>
  <c r="CP70" i="5"/>
  <c r="CQ69" i="5"/>
  <c r="CP69" i="5"/>
  <c r="CQ68" i="5"/>
  <c r="CP68" i="5"/>
  <c r="CQ67" i="5"/>
  <c r="CP67" i="5"/>
  <c r="CQ66" i="5"/>
  <c r="CP66" i="5"/>
  <c r="CQ65" i="5"/>
  <c r="CP65" i="5"/>
  <c r="CQ64" i="5"/>
  <c r="CP64" i="5"/>
  <c r="CQ63" i="5"/>
  <c r="CP63" i="5"/>
  <c r="CQ62" i="5"/>
  <c r="CP62" i="5"/>
  <c r="CQ61" i="5"/>
  <c r="CP61" i="5"/>
  <c r="CQ60" i="5"/>
  <c r="CP60" i="5"/>
  <c r="CQ59" i="5"/>
  <c r="CP59" i="5"/>
  <c r="CQ58" i="5"/>
  <c r="CP58" i="5"/>
  <c r="CQ57" i="5"/>
  <c r="CP57" i="5"/>
  <c r="CQ56" i="5"/>
  <c r="CP56" i="5"/>
  <c r="CQ55" i="5"/>
  <c r="CP55" i="5"/>
  <c r="CQ54" i="5"/>
  <c r="CP54" i="5"/>
  <c r="CQ53" i="5"/>
  <c r="CP53" i="5"/>
  <c r="CQ52" i="5"/>
  <c r="CP52" i="5"/>
  <c r="CQ51" i="5"/>
  <c r="CP51" i="5"/>
  <c r="CQ50" i="5"/>
  <c r="CP50" i="5"/>
  <c r="CQ49" i="5"/>
  <c r="CP49" i="5"/>
  <c r="CQ48" i="5"/>
  <c r="CP48" i="5"/>
  <c r="CQ47" i="5"/>
  <c r="CP47" i="5"/>
  <c r="CQ46" i="5"/>
  <c r="CP46" i="5"/>
  <c r="CQ45" i="5"/>
  <c r="CP45" i="5"/>
  <c r="CQ44" i="5"/>
  <c r="CP44" i="5"/>
  <c r="CQ43" i="5"/>
  <c r="CP43" i="5"/>
  <c r="CQ42" i="5"/>
  <c r="CP42" i="5"/>
  <c r="CQ41" i="5"/>
  <c r="CP41" i="5"/>
  <c r="CQ40" i="5"/>
  <c r="CP40" i="5"/>
  <c r="CQ39" i="5"/>
  <c r="CP39" i="5"/>
  <c r="CP38" i="5"/>
  <c r="CQ37" i="5"/>
  <c r="CP37" i="5"/>
  <c r="CQ36" i="5"/>
  <c r="CP36" i="5"/>
  <c r="CP35" i="5"/>
  <c r="CP34" i="5"/>
  <c r="CQ33" i="5"/>
  <c r="CP33" i="5"/>
  <c r="CQ32" i="5"/>
  <c r="CP32" i="5"/>
  <c r="CQ31" i="5"/>
  <c r="CP31" i="5"/>
  <c r="CP30" i="5"/>
  <c r="CP29" i="5"/>
  <c r="CQ28" i="5"/>
  <c r="CP28" i="5"/>
  <c r="CP27" i="5"/>
  <c r="CQ26" i="5"/>
  <c r="CP26" i="5"/>
  <c r="CQ25" i="5"/>
  <c r="CP25" i="5"/>
  <c r="CQ24" i="5"/>
  <c r="CP24" i="5"/>
  <c r="CQ23" i="5"/>
  <c r="CP23" i="5"/>
  <c r="CQ22" i="5"/>
  <c r="CP22" i="5"/>
  <c r="CQ21" i="5"/>
  <c r="CP21" i="5"/>
  <c r="CQ20" i="5"/>
  <c r="CP20" i="5"/>
  <c r="CQ19" i="5"/>
  <c r="CP19" i="5"/>
  <c r="CQ18" i="5"/>
  <c r="CP18" i="5"/>
  <c r="CQ17" i="5"/>
  <c r="CP17" i="5"/>
  <c r="CQ16" i="5"/>
  <c r="CP16" i="5"/>
  <c r="CQ15" i="5"/>
  <c r="CP15" i="5"/>
  <c r="CQ14" i="5"/>
  <c r="CP14" i="5"/>
  <c r="CQ13" i="5"/>
  <c r="CP13" i="5"/>
  <c r="CQ12" i="5"/>
  <c r="CP12" i="5"/>
  <c r="CQ11" i="5"/>
  <c r="CP11" i="5"/>
  <c r="CQ10" i="5"/>
  <c r="CP10" i="5"/>
  <c r="CP9" i="5"/>
  <c r="CP8" i="5"/>
  <c r="CQ7" i="5"/>
  <c r="CP7" i="5"/>
  <c r="CQ6" i="5"/>
  <c r="CP6" i="5"/>
  <c r="CO121" i="5"/>
  <c r="CN121" i="5"/>
  <c r="CM121" i="5"/>
  <c r="CL121" i="5"/>
  <c r="CK121" i="5"/>
  <c r="CJ121" i="5"/>
  <c r="CI121" i="5"/>
  <c r="CO120" i="5"/>
  <c r="CN120" i="5"/>
  <c r="CM120" i="5"/>
  <c r="CL120" i="5"/>
  <c r="CK120" i="5"/>
  <c r="CJ120" i="5"/>
  <c r="CI120" i="5"/>
  <c r="CO119" i="5"/>
  <c r="CN119" i="5"/>
  <c r="CM119" i="5"/>
  <c r="CL119" i="5"/>
  <c r="CK119" i="5"/>
  <c r="CJ119" i="5"/>
  <c r="CI119" i="5"/>
  <c r="CN118" i="5"/>
  <c r="CM118" i="5"/>
  <c r="CL118" i="5"/>
  <c r="CK118" i="5"/>
  <c r="CJ118" i="5"/>
  <c r="CI118" i="5"/>
  <c r="CO117" i="5"/>
  <c r="CN117" i="5"/>
  <c r="CM117" i="5"/>
  <c r="CL117" i="5"/>
  <c r="CK117" i="5"/>
  <c r="CJ117" i="5"/>
  <c r="CI117" i="5"/>
  <c r="CO116" i="5"/>
  <c r="CN116" i="5"/>
  <c r="CM116" i="5"/>
  <c r="CL116" i="5"/>
  <c r="CK116" i="5"/>
  <c r="CJ116" i="5"/>
  <c r="CI116" i="5"/>
  <c r="CO115" i="5"/>
  <c r="CN115" i="5"/>
  <c r="CM115" i="5"/>
  <c r="CL115" i="5"/>
  <c r="CK115" i="5"/>
  <c r="CJ115" i="5"/>
  <c r="CI115" i="5"/>
  <c r="CO114" i="5"/>
  <c r="CN114" i="5"/>
  <c r="CM114" i="5"/>
  <c r="CL114" i="5"/>
  <c r="CK114" i="5"/>
  <c r="CJ114" i="5"/>
  <c r="CI114" i="5"/>
  <c r="CO113" i="5"/>
  <c r="CN113" i="5"/>
  <c r="CM113" i="5"/>
  <c r="CL113" i="5"/>
  <c r="CK113" i="5"/>
  <c r="CJ113" i="5"/>
  <c r="CI113" i="5"/>
  <c r="CN112" i="5"/>
  <c r="CM112" i="5"/>
  <c r="CL112" i="5"/>
  <c r="CK112" i="5"/>
  <c r="CJ112" i="5"/>
  <c r="CI112" i="5"/>
  <c r="CO111" i="5"/>
  <c r="CN111" i="5"/>
  <c r="CM111" i="5"/>
  <c r="CL111" i="5"/>
  <c r="CK111" i="5"/>
  <c r="CJ111" i="5"/>
  <c r="CI111" i="5"/>
  <c r="CO110" i="5"/>
  <c r="CN110" i="5"/>
  <c r="CM110" i="5"/>
  <c r="CL110" i="5"/>
  <c r="CK110" i="5"/>
  <c r="CJ110" i="5"/>
  <c r="CI110" i="5"/>
  <c r="CO109" i="5"/>
  <c r="CN109" i="5"/>
  <c r="CM109" i="5"/>
  <c r="CL109" i="5"/>
  <c r="CK109" i="5"/>
  <c r="CJ109" i="5"/>
  <c r="CI109" i="5"/>
  <c r="CO108" i="5"/>
  <c r="CN108" i="5"/>
  <c r="CM108" i="5"/>
  <c r="CL108" i="5"/>
  <c r="CK108" i="5"/>
  <c r="CJ108" i="5"/>
  <c r="CI108" i="5"/>
  <c r="CO107" i="5"/>
  <c r="CN107" i="5"/>
  <c r="CM107" i="5"/>
  <c r="CL107" i="5"/>
  <c r="CK107" i="5"/>
  <c r="CJ107" i="5"/>
  <c r="CI107" i="5"/>
  <c r="CO106" i="5"/>
  <c r="CN106" i="5"/>
  <c r="CM106" i="5"/>
  <c r="CL106" i="5"/>
  <c r="CK106" i="5"/>
  <c r="CJ106" i="5"/>
  <c r="CI106" i="5"/>
  <c r="CO105" i="5"/>
  <c r="CN105" i="5"/>
  <c r="CM105" i="5"/>
  <c r="CL105" i="5"/>
  <c r="CK105" i="5"/>
  <c r="CJ105" i="5"/>
  <c r="CI105" i="5"/>
  <c r="CO104" i="5"/>
  <c r="CN104" i="5"/>
  <c r="CM104" i="5"/>
  <c r="CL104" i="5"/>
  <c r="CK104" i="5"/>
  <c r="CJ104" i="5"/>
  <c r="CI104" i="5"/>
  <c r="CO103" i="5"/>
  <c r="CN103" i="5"/>
  <c r="CM103" i="5"/>
  <c r="CL103" i="5"/>
  <c r="CK103" i="5"/>
  <c r="CJ103" i="5"/>
  <c r="CI103" i="5"/>
  <c r="CO102" i="5"/>
  <c r="CN102" i="5"/>
  <c r="CM102" i="5"/>
  <c r="CL102" i="5"/>
  <c r="CK102" i="5"/>
  <c r="CJ102" i="5"/>
  <c r="CI102" i="5"/>
  <c r="CO101" i="5"/>
  <c r="CN101" i="5"/>
  <c r="CM101" i="5"/>
  <c r="CL101" i="5"/>
  <c r="CK101" i="5"/>
  <c r="CJ101" i="5"/>
  <c r="CI101" i="5"/>
  <c r="CO100" i="5"/>
  <c r="CN100" i="5"/>
  <c r="CM100" i="5"/>
  <c r="CL100" i="5"/>
  <c r="CK100" i="5"/>
  <c r="CJ100" i="5"/>
  <c r="CI100" i="5"/>
  <c r="CN99" i="5"/>
  <c r="CM99" i="5"/>
  <c r="CL99" i="5"/>
  <c r="CK99" i="5"/>
  <c r="CJ99" i="5"/>
  <c r="CI99" i="5"/>
  <c r="CN98" i="5"/>
  <c r="CM98" i="5"/>
  <c r="CL98" i="5"/>
  <c r="CK98" i="5"/>
  <c r="CJ98" i="5"/>
  <c r="CI98" i="5"/>
  <c r="CO97" i="5"/>
  <c r="CN97" i="5"/>
  <c r="CM97" i="5"/>
  <c r="CL97" i="5"/>
  <c r="CK97" i="5"/>
  <c r="CJ97" i="5"/>
  <c r="CI97" i="5"/>
  <c r="CO96" i="5"/>
  <c r="CN96" i="5"/>
  <c r="CM96" i="5"/>
  <c r="CL96" i="5"/>
  <c r="CK96" i="5"/>
  <c r="CJ96" i="5"/>
  <c r="CI96" i="5"/>
  <c r="CO95" i="5"/>
  <c r="CN95" i="5"/>
  <c r="CM95" i="5"/>
  <c r="CL95" i="5"/>
  <c r="CK95" i="5"/>
  <c r="CJ95" i="5"/>
  <c r="CI95" i="5"/>
  <c r="CO94" i="5"/>
  <c r="CN94" i="5"/>
  <c r="CM94" i="5"/>
  <c r="CL94" i="5"/>
  <c r="CK94" i="5"/>
  <c r="CJ94" i="5"/>
  <c r="CI94" i="5"/>
  <c r="CN93" i="5"/>
  <c r="CM93" i="5"/>
  <c r="CL93" i="5"/>
  <c r="CK93" i="5"/>
  <c r="CJ93" i="5"/>
  <c r="CI93" i="5"/>
  <c r="CO92" i="5"/>
  <c r="CN92" i="5"/>
  <c r="CM92" i="5"/>
  <c r="CL92" i="5"/>
  <c r="CK92" i="5"/>
  <c r="CJ92" i="5"/>
  <c r="CI92" i="5"/>
  <c r="CO91" i="5"/>
  <c r="CN91" i="5"/>
  <c r="CM91" i="5"/>
  <c r="CL91" i="5"/>
  <c r="CK91" i="5"/>
  <c r="CJ91" i="5"/>
  <c r="CI91" i="5"/>
  <c r="CO90" i="5"/>
  <c r="CN90" i="5"/>
  <c r="CM90" i="5"/>
  <c r="CL90" i="5"/>
  <c r="CK90" i="5"/>
  <c r="CJ90" i="5"/>
  <c r="CI90" i="5"/>
  <c r="CO89" i="5"/>
  <c r="CN89" i="5"/>
  <c r="CM89" i="5"/>
  <c r="CL89" i="5"/>
  <c r="CK89" i="5"/>
  <c r="CJ89" i="5"/>
  <c r="CI89" i="5"/>
  <c r="CN88" i="5"/>
  <c r="CM88" i="5"/>
  <c r="CL88" i="5"/>
  <c r="CK88" i="5"/>
  <c r="CJ88" i="5"/>
  <c r="CI88" i="5"/>
  <c r="CO87" i="5"/>
  <c r="CN87" i="5"/>
  <c r="CM87" i="5"/>
  <c r="CL87" i="5"/>
  <c r="CK87" i="5"/>
  <c r="CJ87" i="5"/>
  <c r="CI87" i="5"/>
  <c r="CO86" i="5"/>
  <c r="CN86" i="5"/>
  <c r="CM86" i="5"/>
  <c r="CL86" i="5"/>
  <c r="CK86" i="5"/>
  <c r="CJ86" i="5"/>
  <c r="CI86" i="5"/>
  <c r="CN85" i="5"/>
  <c r="CM85" i="5"/>
  <c r="CL85" i="5"/>
  <c r="CK85" i="5"/>
  <c r="CJ85" i="5"/>
  <c r="CI85" i="5"/>
  <c r="CO84" i="5"/>
  <c r="CN84" i="5"/>
  <c r="CM84" i="5"/>
  <c r="CL84" i="5"/>
  <c r="CK84" i="5"/>
  <c r="CJ84" i="5"/>
  <c r="CI84" i="5"/>
  <c r="CO83" i="5"/>
  <c r="CN83" i="5"/>
  <c r="CM83" i="5"/>
  <c r="CL83" i="5"/>
  <c r="CK83" i="5"/>
  <c r="CJ83" i="5"/>
  <c r="CI83" i="5"/>
  <c r="CO82" i="5"/>
  <c r="CN82" i="5"/>
  <c r="CM82" i="5"/>
  <c r="CL82" i="5"/>
  <c r="CK82" i="5"/>
  <c r="CJ82" i="5"/>
  <c r="CI82" i="5"/>
  <c r="CN81" i="5"/>
  <c r="CM81" i="5"/>
  <c r="CL81" i="5"/>
  <c r="CK81" i="5"/>
  <c r="CJ81" i="5"/>
  <c r="CI81" i="5"/>
  <c r="CN80" i="5"/>
  <c r="CM80" i="5"/>
  <c r="CL80" i="5"/>
  <c r="CK80" i="5"/>
  <c r="CJ80" i="5"/>
  <c r="CI80" i="5"/>
  <c r="CO79" i="5"/>
  <c r="CN79" i="5"/>
  <c r="CM79" i="5"/>
  <c r="CL79" i="5"/>
  <c r="CK79" i="5"/>
  <c r="CJ79" i="5"/>
  <c r="CI79" i="5"/>
  <c r="CN78" i="5"/>
  <c r="CM78" i="5"/>
  <c r="CL78" i="5"/>
  <c r="CK78" i="5"/>
  <c r="CJ78" i="5"/>
  <c r="CI78" i="5"/>
  <c r="CO77" i="5"/>
  <c r="CN77" i="5"/>
  <c r="CM77" i="5"/>
  <c r="CL77" i="5"/>
  <c r="CK77" i="5"/>
  <c r="CJ77" i="5"/>
  <c r="CI77" i="5"/>
  <c r="CO76" i="5"/>
  <c r="CN76" i="5"/>
  <c r="CM76" i="5"/>
  <c r="CL76" i="5"/>
  <c r="CK76" i="5"/>
  <c r="CJ76" i="5"/>
  <c r="CI76" i="5"/>
  <c r="CN75" i="5"/>
  <c r="CM75" i="5"/>
  <c r="CL75" i="5"/>
  <c r="CK75" i="5"/>
  <c r="CJ75" i="5"/>
  <c r="CI75" i="5"/>
  <c r="CO74" i="5"/>
  <c r="CN74" i="5"/>
  <c r="CM74" i="5"/>
  <c r="CL74" i="5"/>
  <c r="CK74" i="5"/>
  <c r="CJ74" i="5"/>
  <c r="CI74" i="5"/>
  <c r="CO73" i="5"/>
  <c r="CN73" i="5"/>
  <c r="CM73" i="5"/>
  <c r="CL73" i="5"/>
  <c r="CK73" i="5"/>
  <c r="CJ73" i="5"/>
  <c r="CI73" i="5"/>
  <c r="CO72" i="5"/>
  <c r="CN72" i="5"/>
  <c r="CM72" i="5"/>
  <c r="CL72" i="5"/>
  <c r="CK72" i="5"/>
  <c r="CJ72" i="5"/>
  <c r="CI72" i="5"/>
  <c r="CO71" i="5"/>
  <c r="CN71" i="5"/>
  <c r="CM71" i="5"/>
  <c r="CL71" i="5"/>
  <c r="CK71" i="5"/>
  <c r="CJ71" i="5"/>
  <c r="CI71" i="5"/>
  <c r="CO70" i="5"/>
  <c r="CN70" i="5"/>
  <c r="CM70" i="5"/>
  <c r="CL70" i="5"/>
  <c r="CK70" i="5"/>
  <c r="CJ70" i="5"/>
  <c r="CI70" i="5"/>
  <c r="CO69" i="5"/>
  <c r="CN69" i="5"/>
  <c r="CM69" i="5"/>
  <c r="CL69" i="5"/>
  <c r="CK69" i="5"/>
  <c r="CJ69" i="5"/>
  <c r="CI69" i="5"/>
  <c r="CO68" i="5"/>
  <c r="CN68" i="5"/>
  <c r="CM68" i="5"/>
  <c r="CL68" i="5"/>
  <c r="CK68" i="5"/>
  <c r="CJ68" i="5"/>
  <c r="CI68" i="5"/>
  <c r="CO67" i="5"/>
  <c r="CN67" i="5"/>
  <c r="CM67" i="5"/>
  <c r="CL67" i="5"/>
  <c r="CK67" i="5"/>
  <c r="CJ67" i="5"/>
  <c r="CI67" i="5"/>
  <c r="CO66" i="5"/>
  <c r="CN66" i="5"/>
  <c r="CM66" i="5"/>
  <c r="CL66" i="5"/>
  <c r="CK66" i="5"/>
  <c r="CJ66" i="5"/>
  <c r="CI66" i="5"/>
  <c r="CO65" i="5"/>
  <c r="CN65" i="5"/>
  <c r="CM65" i="5"/>
  <c r="CL65" i="5"/>
  <c r="CK65" i="5"/>
  <c r="CJ65" i="5"/>
  <c r="CI65" i="5"/>
  <c r="CO64" i="5"/>
  <c r="CN64" i="5"/>
  <c r="CM64" i="5"/>
  <c r="CL64" i="5"/>
  <c r="CK64" i="5"/>
  <c r="CJ64" i="5"/>
  <c r="CI64" i="5"/>
  <c r="CO63" i="5"/>
  <c r="CN63" i="5"/>
  <c r="CM63" i="5"/>
  <c r="CL63" i="5"/>
  <c r="CK63" i="5"/>
  <c r="CJ63" i="5"/>
  <c r="CI63" i="5"/>
  <c r="CO62" i="5"/>
  <c r="CN62" i="5"/>
  <c r="CM62" i="5"/>
  <c r="CL62" i="5"/>
  <c r="CK62" i="5"/>
  <c r="CJ62" i="5"/>
  <c r="CI62" i="5"/>
  <c r="CO61" i="5"/>
  <c r="CN61" i="5"/>
  <c r="CM61" i="5"/>
  <c r="CL61" i="5"/>
  <c r="CK61" i="5"/>
  <c r="CJ61" i="5"/>
  <c r="CI61" i="5"/>
  <c r="CN60" i="5"/>
  <c r="CM60" i="5"/>
  <c r="CL60" i="5"/>
  <c r="CK60" i="5"/>
  <c r="CJ60" i="5"/>
  <c r="CI60" i="5"/>
  <c r="CO59" i="5"/>
  <c r="CN59" i="5"/>
  <c r="CM59" i="5"/>
  <c r="CL59" i="5"/>
  <c r="CK59" i="5"/>
  <c r="CJ59" i="5"/>
  <c r="CI59" i="5"/>
  <c r="CO58" i="5"/>
  <c r="CN58" i="5"/>
  <c r="CM58" i="5"/>
  <c r="CL58" i="5"/>
  <c r="CK58" i="5"/>
  <c r="CJ58" i="5"/>
  <c r="CI58" i="5"/>
  <c r="CO57" i="5"/>
  <c r="CN57" i="5"/>
  <c r="CM57" i="5"/>
  <c r="CL57" i="5"/>
  <c r="CK57" i="5"/>
  <c r="CJ57" i="5"/>
  <c r="CI57" i="5"/>
  <c r="CO56" i="5"/>
  <c r="CN56" i="5"/>
  <c r="CM56" i="5"/>
  <c r="CL56" i="5"/>
  <c r="CK56" i="5"/>
  <c r="CJ56" i="5"/>
  <c r="CI56" i="5"/>
  <c r="CN55" i="5"/>
  <c r="CM55" i="5"/>
  <c r="CL55" i="5"/>
  <c r="CK55" i="5"/>
  <c r="CJ55" i="5"/>
  <c r="CI55" i="5"/>
  <c r="CO54" i="5"/>
  <c r="CN54" i="5"/>
  <c r="CM54" i="5"/>
  <c r="CL54" i="5"/>
  <c r="CK54" i="5"/>
  <c r="CJ54" i="5"/>
  <c r="CI54" i="5"/>
  <c r="CO53" i="5"/>
  <c r="CN53" i="5"/>
  <c r="CM53" i="5"/>
  <c r="CL53" i="5"/>
  <c r="CK53" i="5"/>
  <c r="CJ53" i="5"/>
  <c r="CI53" i="5"/>
  <c r="CO52" i="5"/>
  <c r="CN52" i="5"/>
  <c r="CM52" i="5"/>
  <c r="CL52" i="5"/>
  <c r="CK52" i="5"/>
  <c r="CJ52" i="5"/>
  <c r="CI52" i="5"/>
  <c r="CN51" i="5"/>
  <c r="CM51" i="5"/>
  <c r="CL51" i="5"/>
  <c r="CK51" i="5"/>
  <c r="CJ51" i="5"/>
  <c r="CI51" i="5"/>
  <c r="CO50" i="5"/>
  <c r="CN50" i="5"/>
  <c r="CM50" i="5"/>
  <c r="CL50" i="5"/>
  <c r="CK50" i="5"/>
  <c r="CJ50" i="5"/>
  <c r="CI50" i="5"/>
  <c r="CO49" i="5"/>
  <c r="CN49" i="5"/>
  <c r="CM49" i="5"/>
  <c r="CL49" i="5"/>
  <c r="CK49" i="5"/>
  <c r="CJ49" i="5"/>
  <c r="CI49" i="5"/>
  <c r="CO48" i="5"/>
  <c r="CN48" i="5"/>
  <c r="CM48" i="5"/>
  <c r="CL48" i="5"/>
  <c r="CK48" i="5"/>
  <c r="CJ48" i="5"/>
  <c r="CI48" i="5"/>
  <c r="CO47" i="5"/>
  <c r="CN47" i="5"/>
  <c r="CM47" i="5"/>
  <c r="CL47" i="5"/>
  <c r="CK47" i="5"/>
  <c r="CJ47" i="5"/>
  <c r="CI47" i="5"/>
  <c r="CO46" i="5"/>
  <c r="CN46" i="5"/>
  <c r="CM46" i="5"/>
  <c r="CL46" i="5"/>
  <c r="CK46" i="5"/>
  <c r="CJ46" i="5"/>
  <c r="CI46" i="5"/>
  <c r="CO45" i="5"/>
  <c r="CN45" i="5"/>
  <c r="CM45" i="5"/>
  <c r="CL45" i="5"/>
  <c r="CK45" i="5"/>
  <c r="CJ45" i="5"/>
  <c r="CI45" i="5"/>
  <c r="CO44" i="5"/>
  <c r="CN44" i="5"/>
  <c r="CM44" i="5"/>
  <c r="CL44" i="5"/>
  <c r="CK44" i="5"/>
  <c r="CJ44" i="5"/>
  <c r="CI44" i="5"/>
  <c r="CO43" i="5"/>
  <c r="CN43" i="5"/>
  <c r="CM43" i="5"/>
  <c r="CL43" i="5"/>
  <c r="CK43" i="5"/>
  <c r="CJ43" i="5"/>
  <c r="CI43" i="5"/>
  <c r="CN42" i="5"/>
  <c r="CM42" i="5"/>
  <c r="CL42" i="5"/>
  <c r="CK42" i="5"/>
  <c r="CJ42" i="5"/>
  <c r="CI42" i="5"/>
  <c r="CO41" i="5"/>
  <c r="CN41" i="5"/>
  <c r="CM41" i="5"/>
  <c r="CL41" i="5"/>
  <c r="CK41" i="5"/>
  <c r="CJ41" i="5"/>
  <c r="CI41" i="5"/>
  <c r="CO40" i="5"/>
  <c r="CN40" i="5"/>
  <c r="CM40" i="5"/>
  <c r="CL40" i="5"/>
  <c r="CK40" i="5"/>
  <c r="CJ40" i="5"/>
  <c r="CI40" i="5"/>
  <c r="CO39" i="5"/>
  <c r="CN39" i="5"/>
  <c r="CM39" i="5"/>
  <c r="CL39" i="5"/>
  <c r="CK39" i="5"/>
  <c r="CJ39" i="5"/>
  <c r="CI39" i="5"/>
  <c r="CO38" i="5"/>
  <c r="CN38" i="5"/>
  <c r="CM38" i="5"/>
  <c r="CL38" i="5"/>
  <c r="CK38" i="5"/>
  <c r="CJ38" i="5"/>
  <c r="CI38" i="5"/>
  <c r="CO37" i="5"/>
  <c r="CN37" i="5"/>
  <c r="CM37" i="5"/>
  <c r="CL37" i="5"/>
  <c r="CK37" i="5"/>
  <c r="CJ37" i="5"/>
  <c r="CI37" i="5"/>
  <c r="CO36" i="5"/>
  <c r="CN36" i="5"/>
  <c r="CM36" i="5"/>
  <c r="CL36" i="5"/>
  <c r="CK36" i="5"/>
  <c r="CJ36" i="5"/>
  <c r="CI36" i="5"/>
  <c r="CO35" i="5"/>
  <c r="CN35" i="5"/>
  <c r="CM35" i="5"/>
  <c r="CL35" i="5"/>
  <c r="CK35" i="5"/>
  <c r="CJ35" i="5"/>
  <c r="CI35" i="5"/>
  <c r="CO34" i="5"/>
  <c r="CN34" i="5"/>
  <c r="CM34" i="5"/>
  <c r="CL34" i="5"/>
  <c r="CK34" i="5"/>
  <c r="CJ34" i="5"/>
  <c r="CI34" i="5"/>
  <c r="CO33" i="5"/>
  <c r="CN33" i="5"/>
  <c r="CM33" i="5"/>
  <c r="CL33" i="5"/>
  <c r="CK33" i="5"/>
  <c r="CJ33" i="5"/>
  <c r="CI33" i="5"/>
  <c r="CO32" i="5"/>
  <c r="CN32" i="5"/>
  <c r="CM32" i="5"/>
  <c r="CL32" i="5"/>
  <c r="CK32" i="5"/>
  <c r="CJ32" i="5"/>
  <c r="CI32" i="5"/>
  <c r="CO31" i="5"/>
  <c r="CN31" i="5"/>
  <c r="CM31" i="5"/>
  <c r="CL31" i="5"/>
  <c r="CK31" i="5"/>
  <c r="CJ31" i="5"/>
  <c r="CI31" i="5"/>
  <c r="CO30" i="5"/>
  <c r="CN30" i="5"/>
  <c r="CM30" i="5"/>
  <c r="CL30" i="5"/>
  <c r="CK30" i="5"/>
  <c r="CJ30" i="5"/>
  <c r="CI30" i="5"/>
  <c r="CO29" i="5"/>
  <c r="CN29" i="5"/>
  <c r="CM29" i="5"/>
  <c r="CL29" i="5"/>
  <c r="CK29" i="5"/>
  <c r="CJ29" i="5"/>
  <c r="CI29" i="5"/>
  <c r="CN28" i="5"/>
  <c r="CM28" i="5"/>
  <c r="CL28" i="5"/>
  <c r="CK28" i="5"/>
  <c r="CJ28" i="5"/>
  <c r="CI28" i="5"/>
  <c r="CO27" i="5"/>
  <c r="CN27" i="5"/>
  <c r="CM27" i="5"/>
  <c r="CL27" i="5"/>
  <c r="CK27" i="5"/>
  <c r="CJ27" i="5"/>
  <c r="CI27" i="5"/>
  <c r="CO26" i="5"/>
  <c r="CN26" i="5"/>
  <c r="CM26" i="5"/>
  <c r="CL26" i="5"/>
  <c r="CK26" i="5"/>
  <c r="CJ26" i="5"/>
  <c r="CI26" i="5"/>
  <c r="CO25" i="5"/>
  <c r="CN25" i="5"/>
  <c r="CM25" i="5"/>
  <c r="CL25" i="5"/>
  <c r="CK25" i="5"/>
  <c r="CJ25" i="5"/>
  <c r="CI25" i="5"/>
  <c r="CO24" i="5"/>
  <c r="CN24" i="5"/>
  <c r="CM24" i="5"/>
  <c r="CL24" i="5"/>
  <c r="CK24" i="5"/>
  <c r="CJ24" i="5"/>
  <c r="CI24" i="5"/>
  <c r="CO23" i="5"/>
  <c r="CN23" i="5"/>
  <c r="CM23" i="5"/>
  <c r="CL23" i="5"/>
  <c r="CK23" i="5"/>
  <c r="CJ23" i="5"/>
  <c r="CI23" i="5"/>
  <c r="CO22" i="5"/>
  <c r="CN22" i="5"/>
  <c r="CM22" i="5"/>
  <c r="CL22" i="5"/>
  <c r="CK22" i="5"/>
  <c r="CJ22" i="5"/>
  <c r="CI22" i="5"/>
  <c r="CO21" i="5"/>
  <c r="CN21" i="5"/>
  <c r="CM21" i="5"/>
  <c r="CL21" i="5"/>
  <c r="CK21" i="5"/>
  <c r="CJ21" i="5"/>
  <c r="CI21" i="5"/>
  <c r="CN20" i="5"/>
  <c r="CM20" i="5"/>
  <c r="CL20" i="5"/>
  <c r="CK20" i="5"/>
  <c r="CJ20" i="5"/>
  <c r="CI20" i="5"/>
  <c r="CO19" i="5"/>
  <c r="CN19" i="5"/>
  <c r="CM19" i="5"/>
  <c r="CL19" i="5"/>
  <c r="CK19" i="5"/>
  <c r="CJ19" i="5"/>
  <c r="CI19" i="5"/>
  <c r="CN18" i="5"/>
  <c r="CM18" i="5"/>
  <c r="CL18" i="5"/>
  <c r="CK18" i="5"/>
  <c r="CJ18" i="5"/>
  <c r="CI18" i="5"/>
  <c r="CO17" i="5"/>
  <c r="CN17" i="5"/>
  <c r="CM17" i="5"/>
  <c r="CL17" i="5"/>
  <c r="CK17" i="5"/>
  <c r="CJ17" i="5"/>
  <c r="CI17" i="5"/>
  <c r="CO16" i="5"/>
  <c r="CN16" i="5"/>
  <c r="CM16" i="5"/>
  <c r="CL16" i="5"/>
  <c r="CK16" i="5"/>
  <c r="CJ16" i="5"/>
  <c r="CI16" i="5"/>
  <c r="CO15" i="5"/>
  <c r="CN15" i="5"/>
  <c r="CM15" i="5"/>
  <c r="CL15" i="5"/>
  <c r="CK15" i="5"/>
  <c r="CJ15" i="5"/>
  <c r="CI15" i="5"/>
  <c r="CO14" i="5"/>
  <c r="CN14" i="5"/>
  <c r="CM14" i="5"/>
  <c r="CL14" i="5"/>
  <c r="CK14" i="5"/>
  <c r="CJ14" i="5"/>
  <c r="CI14" i="5"/>
  <c r="CO13" i="5"/>
  <c r="CN13" i="5"/>
  <c r="CM13" i="5"/>
  <c r="CL13" i="5"/>
  <c r="CK13" i="5"/>
  <c r="CJ13" i="5"/>
  <c r="CI13" i="5"/>
  <c r="CO12" i="5"/>
  <c r="CN12" i="5"/>
  <c r="CM12" i="5"/>
  <c r="CL12" i="5"/>
  <c r="CK12" i="5"/>
  <c r="CJ12" i="5"/>
  <c r="CI12" i="5"/>
  <c r="CO11" i="5"/>
  <c r="CN11" i="5"/>
  <c r="CM11" i="5"/>
  <c r="CL11" i="5"/>
  <c r="CK11" i="5"/>
  <c r="CJ11" i="5"/>
  <c r="CI11" i="5"/>
  <c r="CO10" i="5"/>
  <c r="CN10" i="5"/>
  <c r="CM10" i="5"/>
  <c r="CL10" i="5"/>
  <c r="CK10" i="5"/>
  <c r="CJ10" i="5"/>
  <c r="CI10" i="5"/>
  <c r="CO9" i="5"/>
  <c r="CM9" i="5"/>
  <c r="CL9" i="5"/>
  <c r="CK9" i="5"/>
  <c r="CJ9" i="5"/>
  <c r="CI9" i="5"/>
  <c r="CO8" i="5"/>
  <c r="CM8" i="5"/>
  <c r="CL8" i="5"/>
  <c r="CK8" i="5"/>
  <c r="CJ8" i="5"/>
  <c r="CI8" i="5"/>
  <c r="CO7" i="5"/>
  <c r="CN7" i="5"/>
  <c r="CM7" i="5"/>
  <c r="CL7" i="5"/>
  <c r="CK7" i="5"/>
  <c r="CJ7" i="5"/>
  <c r="CI7" i="5"/>
  <c r="CO6" i="5"/>
  <c r="CN6" i="5"/>
  <c r="CM6" i="5"/>
  <c r="CL6" i="5"/>
  <c r="CK6" i="5"/>
  <c r="CJ6" i="5"/>
  <c r="CI6" i="5"/>
  <c r="AB121" i="5"/>
  <c r="AA121" i="5"/>
  <c r="Z121" i="5"/>
  <c r="Y121" i="5"/>
  <c r="AB120" i="5"/>
  <c r="AA120" i="5"/>
  <c r="Z120" i="5"/>
  <c r="Y120" i="5"/>
  <c r="AB119" i="5"/>
  <c r="AA119" i="5"/>
  <c r="Z119" i="5"/>
  <c r="Y119" i="5"/>
  <c r="AB118" i="5"/>
  <c r="AA118" i="5"/>
  <c r="Z118" i="5"/>
  <c r="Y118" i="5"/>
  <c r="AB117" i="5"/>
  <c r="AA117" i="5"/>
  <c r="Z117" i="5"/>
  <c r="Y117" i="5"/>
  <c r="AB116" i="5"/>
  <c r="AA116" i="5"/>
  <c r="Z116" i="5"/>
  <c r="Y116" i="5"/>
  <c r="AB115" i="5"/>
  <c r="AA115" i="5"/>
  <c r="Z115" i="5"/>
  <c r="Y115" i="5"/>
  <c r="AB114" i="5"/>
  <c r="AA114" i="5"/>
  <c r="Z114" i="5"/>
  <c r="Y114" i="5"/>
  <c r="AB113" i="5"/>
  <c r="AA113" i="5"/>
  <c r="Z113" i="5"/>
  <c r="Y113" i="5"/>
  <c r="AB112" i="5"/>
  <c r="AA112" i="5"/>
  <c r="Z112" i="5"/>
  <c r="Y112" i="5"/>
  <c r="AB111" i="5"/>
  <c r="AA111" i="5"/>
  <c r="Z111" i="5"/>
  <c r="Y111" i="5"/>
  <c r="AB110" i="5"/>
  <c r="AA110" i="5"/>
  <c r="Z110" i="5"/>
  <c r="Y110" i="5"/>
  <c r="AB109" i="5"/>
  <c r="AA109" i="5"/>
  <c r="Z109" i="5"/>
  <c r="Y109" i="5"/>
  <c r="AB108" i="5"/>
  <c r="AA108" i="5"/>
  <c r="Z108" i="5"/>
  <c r="Y108" i="5"/>
  <c r="AB107" i="5"/>
  <c r="AA107" i="5"/>
  <c r="Z107" i="5"/>
  <c r="Y107" i="5"/>
  <c r="AB106" i="5"/>
  <c r="AA106" i="5"/>
  <c r="Z106" i="5"/>
  <c r="Y106" i="5"/>
  <c r="AB105" i="5"/>
  <c r="AA105" i="5"/>
  <c r="Z105" i="5"/>
  <c r="Y105" i="5"/>
  <c r="AB104" i="5"/>
  <c r="AA104" i="5"/>
  <c r="Z104" i="5"/>
  <c r="Y104" i="5"/>
  <c r="AB103" i="5"/>
  <c r="AA103" i="5"/>
  <c r="Z103" i="5"/>
  <c r="Y103" i="5"/>
  <c r="AB102" i="5"/>
  <c r="AA102" i="5"/>
  <c r="Z102" i="5"/>
  <c r="Y102" i="5"/>
  <c r="AB101" i="5"/>
  <c r="AA101" i="5"/>
  <c r="Z101" i="5"/>
  <c r="Y101" i="5"/>
  <c r="AB100" i="5"/>
  <c r="AA100" i="5"/>
  <c r="Z100" i="5"/>
  <c r="Y100" i="5"/>
  <c r="AB99" i="5"/>
  <c r="AA99" i="5"/>
  <c r="Z99" i="5"/>
  <c r="Y99" i="5"/>
  <c r="AB98" i="5"/>
  <c r="AA98" i="5"/>
  <c r="Z98" i="5"/>
  <c r="Y98" i="5"/>
  <c r="AB97" i="5"/>
  <c r="AA97" i="5"/>
  <c r="Z97" i="5"/>
  <c r="Y97" i="5"/>
  <c r="AB96" i="5"/>
  <c r="AA96" i="5"/>
  <c r="Z96" i="5"/>
  <c r="Y96" i="5"/>
  <c r="AB95" i="5"/>
  <c r="AA95" i="5"/>
  <c r="Z95" i="5"/>
  <c r="Y95" i="5"/>
  <c r="AB94" i="5"/>
  <c r="AA94" i="5"/>
  <c r="Z94" i="5"/>
  <c r="Y94" i="5"/>
  <c r="AB93" i="5"/>
  <c r="AA93" i="5"/>
  <c r="Z93" i="5"/>
  <c r="Y93" i="5"/>
  <c r="AB92" i="5"/>
  <c r="AA92" i="5"/>
  <c r="Z92" i="5"/>
  <c r="Y92" i="5"/>
  <c r="AB91" i="5"/>
  <c r="AA91" i="5"/>
  <c r="Z91" i="5"/>
  <c r="Y91" i="5"/>
  <c r="AB90" i="5"/>
  <c r="AA90" i="5"/>
  <c r="Z90" i="5"/>
  <c r="Y90" i="5"/>
  <c r="AB89" i="5"/>
  <c r="AA89" i="5"/>
  <c r="Z89" i="5"/>
  <c r="Y89" i="5"/>
  <c r="AB88" i="5"/>
  <c r="AA88" i="5"/>
  <c r="Z88" i="5"/>
  <c r="Y88" i="5"/>
  <c r="AB87" i="5"/>
  <c r="AA87" i="5"/>
  <c r="Z87" i="5"/>
  <c r="Y87" i="5"/>
  <c r="AB86" i="5"/>
  <c r="AA86" i="5"/>
  <c r="Z86" i="5"/>
  <c r="Y86" i="5"/>
  <c r="AB85" i="5"/>
  <c r="AA85" i="5"/>
  <c r="Z85" i="5"/>
  <c r="Y85" i="5"/>
  <c r="AB84" i="5"/>
  <c r="AA84" i="5"/>
  <c r="Z84" i="5"/>
  <c r="Y84" i="5"/>
  <c r="AB83" i="5"/>
  <c r="AA83" i="5"/>
  <c r="Z83" i="5"/>
  <c r="Y83" i="5"/>
  <c r="AB82" i="5"/>
  <c r="AA82" i="5"/>
  <c r="Z82" i="5"/>
  <c r="Y82" i="5"/>
  <c r="AB81" i="5"/>
  <c r="AA81" i="5"/>
  <c r="Z81" i="5"/>
  <c r="Y81" i="5"/>
  <c r="AB80" i="5"/>
  <c r="AA80" i="5"/>
  <c r="Z80" i="5"/>
  <c r="Y80" i="5"/>
  <c r="AB79" i="5"/>
  <c r="AA79" i="5"/>
  <c r="Z79" i="5"/>
  <c r="Y79" i="5"/>
  <c r="AB78" i="5"/>
  <c r="AA78" i="5"/>
  <c r="Z78" i="5"/>
  <c r="Y78" i="5"/>
  <c r="AB77" i="5"/>
  <c r="AA77" i="5"/>
  <c r="Z77" i="5"/>
  <c r="Y77" i="5"/>
  <c r="AB76" i="5"/>
  <c r="AA76" i="5"/>
  <c r="Z76" i="5"/>
  <c r="Y76" i="5"/>
  <c r="AB75" i="5"/>
  <c r="AA75" i="5"/>
  <c r="Z75" i="5"/>
  <c r="Y75" i="5"/>
  <c r="AB74" i="5"/>
  <c r="AA74" i="5"/>
  <c r="Z74" i="5"/>
  <c r="Y74" i="5"/>
  <c r="AB73" i="5"/>
  <c r="AA73" i="5"/>
  <c r="Z73" i="5"/>
  <c r="Y73" i="5"/>
  <c r="AB72" i="5"/>
  <c r="AA72" i="5"/>
  <c r="Z72" i="5"/>
  <c r="Y72" i="5"/>
  <c r="AB71" i="5"/>
  <c r="AA71" i="5"/>
  <c r="Z71" i="5"/>
  <c r="Y71" i="5"/>
  <c r="AB70" i="5"/>
  <c r="AA70" i="5"/>
  <c r="Z70" i="5"/>
  <c r="Y70" i="5"/>
  <c r="AB69" i="5"/>
  <c r="AA69" i="5"/>
  <c r="Z69" i="5"/>
  <c r="Y69" i="5"/>
  <c r="AB68" i="5"/>
  <c r="AA68" i="5"/>
  <c r="Z68" i="5"/>
  <c r="Y68" i="5"/>
  <c r="AB67" i="5"/>
  <c r="AA67" i="5"/>
  <c r="Z67" i="5"/>
  <c r="Y67" i="5"/>
  <c r="AB66" i="5"/>
  <c r="AA66" i="5"/>
  <c r="Z66" i="5"/>
  <c r="Y66" i="5"/>
  <c r="AB65" i="5"/>
  <c r="AA65" i="5"/>
  <c r="Z65" i="5"/>
  <c r="Y65" i="5"/>
  <c r="AB64" i="5"/>
  <c r="AA64" i="5"/>
  <c r="Z64" i="5"/>
  <c r="Y64" i="5"/>
  <c r="AB63" i="5"/>
  <c r="AA63" i="5"/>
  <c r="Z63" i="5"/>
  <c r="Y63" i="5"/>
  <c r="AB62" i="5"/>
  <c r="AA62" i="5"/>
  <c r="Z62" i="5"/>
  <c r="Y62" i="5"/>
  <c r="AB61" i="5"/>
  <c r="AA61" i="5"/>
  <c r="Z61" i="5"/>
  <c r="Y61" i="5"/>
  <c r="AB60" i="5"/>
  <c r="AA60" i="5"/>
  <c r="Z60" i="5"/>
  <c r="Y60" i="5"/>
  <c r="AB59" i="5"/>
  <c r="AA59" i="5"/>
  <c r="Z59" i="5"/>
  <c r="Y59" i="5"/>
  <c r="AB58" i="5"/>
  <c r="AA58" i="5"/>
  <c r="Z58" i="5"/>
  <c r="Y58" i="5"/>
  <c r="AB57" i="5"/>
  <c r="AA57" i="5"/>
  <c r="Z57" i="5"/>
  <c r="Y57" i="5"/>
  <c r="AB56" i="5"/>
  <c r="AA56" i="5"/>
  <c r="Z56" i="5"/>
  <c r="Y56" i="5"/>
  <c r="AB55" i="5"/>
  <c r="AA55" i="5"/>
  <c r="Z55" i="5"/>
  <c r="Y55" i="5"/>
  <c r="AB54" i="5"/>
  <c r="AA54" i="5"/>
  <c r="Z54" i="5"/>
  <c r="Y54" i="5"/>
  <c r="AB53" i="5"/>
  <c r="AA53" i="5"/>
  <c r="Z53" i="5"/>
  <c r="Y53" i="5"/>
  <c r="AB52" i="5"/>
  <c r="AA52" i="5"/>
  <c r="Z52" i="5"/>
  <c r="Y52" i="5"/>
  <c r="AB51" i="5"/>
  <c r="AA51" i="5"/>
  <c r="Z51" i="5"/>
  <c r="Y51" i="5"/>
  <c r="AB50" i="5"/>
  <c r="AA50" i="5"/>
  <c r="Z50" i="5"/>
  <c r="Y50" i="5"/>
  <c r="AB49" i="5"/>
  <c r="AA49" i="5"/>
  <c r="Z49" i="5"/>
  <c r="Y49" i="5"/>
  <c r="AB48" i="5"/>
  <c r="AA48" i="5"/>
  <c r="Z48" i="5"/>
  <c r="Y48" i="5"/>
  <c r="AB47" i="5"/>
  <c r="AA47" i="5"/>
  <c r="Z47" i="5"/>
  <c r="Y47" i="5"/>
  <c r="AB46" i="5"/>
  <c r="AA46" i="5"/>
  <c r="Z46" i="5"/>
  <c r="Y46" i="5"/>
  <c r="AB45" i="5"/>
  <c r="AA45" i="5"/>
  <c r="Z45" i="5"/>
  <c r="Y45" i="5"/>
  <c r="AB44" i="5"/>
  <c r="AA44" i="5"/>
  <c r="Z44" i="5"/>
  <c r="Y44" i="5"/>
  <c r="AB43" i="5"/>
  <c r="AA43" i="5"/>
  <c r="Z43" i="5"/>
  <c r="Y43" i="5"/>
  <c r="AB42" i="5"/>
  <c r="AA42" i="5"/>
  <c r="Z42" i="5"/>
  <c r="Y42" i="5"/>
  <c r="AB41" i="5"/>
  <c r="AA41" i="5"/>
  <c r="Z41" i="5"/>
  <c r="Y41" i="5"/>
  <c r="AB40" i="5"/>
  <c r="AA40" i="5"/>
  <c r="Z40" i="5"/>
  <c r="Y40" i="5"/>
  <c r="AB39" i="5"/>
  <c r="AA39" i="5"/>
  <c r="Z39" i="5"/>
  <c r="Y39" i="5"/>
  <c r="AB38" i="5"/>
  <c r="AA38" i="5"/>
  <c r="Z38" i="5"/>
  <c r="Y38" i="5"/>
  <c r="AB37" i="5"/>
  <c r="AA37" i="5"/>
  <c r="Z37" i="5"/>
  <c r="Y37" i="5"/>
  <c r="AB36" i="5"/>
  <c r="AA36" i="5"/>
  <c r="Z36" i="5"/>
  <c r="Y36" i="5"/>
  <c r="AB35" i="5"/>
  <c r="AA35" i="5"/>
  <c r="Z35" i="5"/>
  <c r="Y35" i="5"/>
  <c r="AB34" i="5"/>
  <c r="AA34" i="5"/>
  <c r="Z34" i="5"/>
  <c r="Y34" i="5"/>
  <c r="AB33" i="5"/>
  <c r="AA33" i="5"/>
  <c r="Z33" i="5"/>
  <c r="Y33" i="5"/>
  <c r="AB32" i="5"/>
  <c r="AA32" i="5"/>
  <c r="Z32" i="5"/>
  <c r="Y32" i="5"/>
  <c r="AB31" i="5"/>
  <c r="AA31" i="5"/>
  <c r="Z31" i="5"/>
  <c r="Y31" i="5"/>
  <c r="AB30" i="5"/>
  <c r="AA30" i="5"/>
  <c r="Z30" i="5"/>
  <c r="Y30" i="5"/>
  <c r="AB29" i="5"/>
  <c r="AA29" i="5"/>
  <c r="Z29" i="5"/>
  <c r="Y29" i="5"/>
  <c r="AB28" i="5"/>
  <c r="AA28" i="5"/>
  <c r="Z28" i="5"/>
  <c r="Y28" i="5"/>
  <c r="AB27" i="5"/>
  <c r="AA27" i="5"/>
  <c r="Z27" i="5"/>
  <c r="Y27" i="5"/>
  <c r="AB26" i="5"/>
  <c r="AA26" i="5"/>
  <c r="Z26" i="5"/>
  <c r="Y26" i="5"/>
  <c r="AB25" i="5"/>
  <c r="AA25" i="5"/>
  <c r="Z25" i="5"/>
  <c r="Y25" i="5"/>
  <c r="AB24" i="5"/>
  <c r="AA24" i="5"/>
  <c r="Z24" i="5"/>
  <c r="Y24" i="5"/>
  <c r="AB23" i="5"/>
  <c r="AA23" i="5"/>
  <c r="Z23" i="5"/>
  <c r="Y23" i="5"/>
  <c r="AB22" i="5"/>
  <c r="AA22" i="5"/>
  <c r="Z22" i="5"/>
  <c r="Y22" i="5"/>
  <c r="AB21" i="5"/>
  <c r="AA21" i="5"/>
  <c r="Z21" i="5"/>
  <c r="Y21" i="5"/>
  <c r="AB20" i="5"/>
  <c r="AA20" i="5"/>
  <c r="Z20" i="5"/>
  <c r="Y20" i="5"/>
  <c r="AB19" i="5"/>
  <c r="AA19" i="5"/>
  <c r="Z19" i="5"/>
  <c r="Y19" i="5"/>
  <c r="AB18" i="5"/>
  <c r="AA18" i="5"/>
  <c r="Z18" i="5"/>
  <c r="Y18" i="5"/>
  <c r="AB17" i="5"/>
  <c r="AA17" i="5"/>
  <c r="Z17" i="5"/>
  <c r="Y17" i="5"/>
  <c r="AB16" i="5"/>
  <c r="AA16" i="5"/>
  <c r="Z16" i="5"/>
  <c r="Y16" i="5"/>
  <c r="AB15" i="5"/>
  <c r="AA15" i="5"/>
  <c r="Z15" i="5"/>
  <c r="Y15" i="5"/>
  <c r="AB14" i="5"/>
  <c r="AA14" i="5"/>
  <c r="Z14" i="5"/>
  <c r="Y14" i="5"/>
  <c r="AB13" i="5"/>
  <c r="AA13" i="5"/>
  <c r="Z13" i="5"/>
  <c r="Y13" i="5"/>
  <c r="AB12" i="5"/>
  <c r="AA12" i="5"/>
  <c r="Z12" i="5"/>
  <c r="Y12" i="5"/>
  <c r="AB11" i="5"/>
  <c r="AA11" i="5"/>
  <c r="Z11" i="5"/>
  <c r="Y11" i="5"/>
  <c r="AB10" i="5"/>
  <c r="AA10" i="5"/>
  <c r="Z10" i="5"/>
  <c r="Y10" i="5"/>
  <c r="AB9" i="5"/>
  <c r="AA9" i="5"/>
  <c r="Z9" i="5"/>
  <c r="Y9" i="5"/>
  <c r="AB8" i="5"/>
  <c r="AA8" i="5"/>
  <c r="Z8" i="5"/>
  <c r="Y8" i="5"/>
  <c r="AB7" i="5"/>
  <c r="AA7" i="5"/>
  <c r="Z7" i="5"/>
  <c r="Y7" i="5"/>
  <c r="AB6" i="5"/>
  <c r="AA6" i="5"/>
  <c r="Z6" i="5"/>
  <c r="Y6" i="5"/>
  <c r="T121" i="5"/>
  <c r="S121" i="5"/>
  <c r="R121" i="5"/>
  <c r="Q121" i="5"/>
  <c r="P121" i="5"/>
  <c r="O121" i="5"/>
  <c r="N121" i="5"/>
  <c r="T120" i="5"/>
  <c r="S120" i="5"/>
  <c r="R120" i="5"/>
  <c r="Q120" i="5"/>
  <c r="P120" i="5"/>
  <c r="O120" i="5"/>
  <c r="N120" i="5"/>
  <c r="T119" i="5"/>
  <c r="S119" i="5"/>
  <c r="R119" i="5"/>
  <c r="Q119" i="5"/>
  <c r="P119" i="5"/>
  <c r="O119" i="5"/>
  <c r="N119" i="5"/>
  <c r="T118" i="5"/>
  <c r="S118" i="5"/>
  <c r="R118" i="5"/>
  <c r="Q118" i="5"/>
  <c r="P118" i="5"/>
  <c r="O118" i="5"/>
  <c r="N118" i="5"/>
  <c r="T117" i="5"/>
  <c r="S117" i="5"/>
  <c r="R117" i="5"/>
  <c r="Q117" i="5"/>
  <c r="P117" i="5"/>
  <c r="O117" i="5"/>
  <c r="N117" i="5"/>
  <c r="T116" i="5"/>
  <c r="S116" i="5"/>
  <c r="R116" i="5"/>
  <c r="Q116" i="5"/>
  <c r="P116" i="5"/>
  <c r="O116" i="5"/>
  <c r="N116" i="5"/>
  <c r="T115" i="5"/>
  <c r="S115" i="5"/>
  <c r="R115" i="5"/>
  <c r="Q115" i="5"/>
  <c r="P115" i="5"/>
  <c r="O115" i="5"/>
  <c r="N115" i="5"/>
  <c r="T114" i="5"/>
  <c r="S114" i="5"/>
  <c r="R114" i="5"/>
  <c r="Q114" i="5"/>
  <c r="P114" i="5"/>
  <c r="O114" i="5"/>
  <c r="N114" i="5"/>
  <c r="T113" i="5"/>
  <c r="S113" i="5"/>
  <c r="R113" i="5"/>
  <c r="Q113" i="5"/>
  <c r="P113" i="5"/>
  <c r="O113" i="5"/>
  <c r="N113" i="5"/>
  <c r="T112" i="5"/>
  <c r="S112" i="5"/>
  <c r="R112" i="5"/>
  <c r="Q112" i="5"/>
  <c r="P112" i="5"/>
  <c r="O112" i="5"/>
  <c r="N112" i="5"/>
  <c r="T111" i="5"/>
  <c r="S111" i="5"/>
  <c r="R111" i="5"/>
  <c r="Q111" i="5"/>
  <c r="P111" i="5"/>
  <c r="O111" i="5"/>
  <c r="N111" i="5"/>
  <c r="T110" i="5"/>
  <c r="S110" i="5"/>
  <c r="R110" i="5"/>
  <c r="Q110" i="5"/>
  <c r="P110" i="5"/>
  <c r="O110" i="5"/>
  <c r="N110" i="5"/>
  <c r="T109" i="5"/>
  <c r="S109" i="5"/>
  <c r="R109" i="5"/>
  <c r="Q109" i="5"/>
  <c r="P109" i="5"/>
  <c r="O109" i="5"/>
  <c r="N109" i="5"/>
  <c r="T108" i="5"/>
  <c r="S108" i="5"/>
  <c r="R108" i="5"/>
  <c r="Q108" i="5"/>
  <c r="P108" i="5"/>
  <c r="O108" i="5"/>
  <c r="N108" i="5"/>
  <c r="T107" i="5"/>
  <c r="S107" i="5"/>
  <c r="R107" i="5"/>
  <c r="Q107" i="5"/>
  <c r="P107" i="5"/>
  <c r="O107" i="5"/>
  <c r="N107" i="5"/>
  <c r="T106" i="5"/>
  <c r="S106" i="5"/>
  <c r="R106" i="5"/>
  <c r="Q106" i="5"/>
  <c r="P106" i="5"/>
  <c r="O106" i="5"/>
  <c r="N106" i="5"/>
  <c r="T105" i="5"/>
  <c r="S105" i="5"/>
  <c r="R105" i="5"/>
  <c r="Q105" i="5"/>
  <c r="P105" i="5"/>
  <c r="O105" i="5"/>
  <c r="N105" i="5"/>
  <c r="T104" i="5"/>
  <c r="S104" i="5"/>
  <c r="R104" i="5"/>
  <c r="Q104" i="5"/>
  <c r="O104" i="5"/>
  <c r="N104" i="5"/>
  <c r="T103" i="5"/>
  <c r="S103" i="5"/>
  <c r="R103" i="5"/>
  <c r="Q103" i="5"/>
  <c r="P103" i="5"/>
  <c r="O103" i="5"/>
  <c r="N103" i="5"/>
  <c r="T102" i="5"/>
  <c r="S102" i="5"/>
  <c r="R102" i="5"/>
  <c r="Q102" i="5"/>
  <c r="O102" i="5"/>
  <c r="N102" i="5"/>
  <c r="T101" i="5"/>
  <c r="S101" i="5"/>
  <c r="R101" i="5"/>
  <c r="Q101" i="5"/>
  <c r="O101" i="5"/>
  <c r="N101" i="5"/>
  <c r="T100" i="5"/>
  <c r="S100" i="5"/>
  <c r="R100" i="5"/>
  <c r="Q100" i="5"/>
  <c r="O100" i="5"/>
  <c r="N100" i="5"/>
  <c r="T99" i="5"/>
  <c r="S99" i="5"/>
  <c r="R99" i="5"/>
  <c r="Q99" i="5"/>
  <c r="P99" i="5"/>
  <c r="O99" i="5"/>
  <c r="N99" i="5"/>
  <c r="T98" i="5"/>
  <c r="S98" i="5"/>
  <c r="R98" i="5"/>
  <c r="Q98" i="5"/>
  <c r="P98" i="5"/>
  <c r="O98" i="5"/>
  <c r="N98" i="5"/>
  <c r="T97" i="5"/>
  <c r="S97" i="5"/>
  <c r="R97" i="5"/>
  <c r="Q97" i="5"/>
  <c r="P97" i="5"/>
  <c r="O97" i="5"/>
  <c r="N97" i="5"/>
  <c r="T96" i="5"/>
  <c r="S96" i="5"/>
  <c r="R96" i="5"/>
  <c r="Q96" i="5"/>
  <c r="P96" i="5"/>
  <c r="O96" i="5"/>
  <c r="N96" i="5"/>
  <c r="T95" i="5"/>
  <c r="S95" i="5"/>
  <c r="R95" i="5"/>
  <c r="Q95" i="5"/>
  <c r="P95" i="5"/>
  <c r="O95" i="5"/>
  <c r="N95" i="5"/>
  <c r="T94" i="5"/>
  <c r="S94" i="5"/>
  <c r="R94" i="5"/>
  <c r="Q94" i="5"/>
  <c r="O94" i="5"/>
  <c r="N94" i="5"/>
  <c r="T93" i="5"/>
  <c r="S93" i="5"/>
  <c r="R93" i="5"/>
  <c r="Q93" i="5"/>
  <c r="O93" i="5"/>
  <c r="N93" i="5"/>
  <c r="T92" i="5"/>
  <c r="S92" i="5"/>
  <c r="R92" i="5"/>
  <c r="Q92" i="5"/>
  <c r="O92" i="5"/>
  <c r="N92" i="5"/>
  <c r="T91" i="5"/>
  <c r="S91" i="5"/>
  <c r="R91" i="5"/>
  <c r="Q91" i="5"/>
  <c r="O91" i="5"/>
  <c r="N91" i="5"/>
  <c r="T90" i="5"/>
  <c r="S90" i="5"/>
  <c r="R90" i="5"/>
  <c r="Q90" i="5"/>
  <c r="O90" i="5"/>
  <c r="N90" i="5"/>
  <c r="T89" i="5"/>
  <c r="S89" i="5"/>
  <c r="R89" i="5"/>
  <c r="Q89" i="5"/>
  <c r="O89" i="5"/>
  <c r="N89" i="5"/>
  <c r="T88" i="5"/>
  <c r="S88" i="5"/>
  <c r="R88" i="5"/>
  <c r="Q88" i="5"/>
  <c r="P88" i="5"/>
  <c r="O88" i="5"/>
  <c r="N88" i="5"/>
  <c r="T87" i="5"/>
  <c r="S87" i="5"/>
  <c r="R87" i="5"/>
  <c r="Q87" i="5"/>
  <c r="P87" i="5"/>
  <c r="O87" i="5"/>
  <c r="N87" i="5"/>
  <c r="T86" i="5"/>
  <c r="S86" i="5"/>
  <c r="R86" i="5"/>
  <c r="Q86" i="5"/>
  <c r="P86" i="5"/>
  <c r="O86" i="5"/>
  <c r="N86" i="5"/>
  <c r="T85" i="5"/>
  <c r="S85" i="5"/>
  <c r="R85" i="5"/>
  <c r="Q85" i="5"/>
  <c r="O85" i="5"/>
  <c r="N85" i="5"/>
  <c r="T84" i="5"/>
  <c r="S84" i="5"/>
  <c r="R84" i="5"/>
  <c r="Q84" i="5"/>
  <c r="P84" i="5"/>
  <c r="O84" i="5"/>
  <c r="N84" i="5"/>
  <c r="T83" i="5"/>
  <c r="S83" i="5"/>
  <c r="R83" i="5"/>
  <c r="Q83" i="5"/>
  <c r="O83" i="5"/>
  <c r="N83" i="5"/>
  <c r="T82" i="5"/>
  <c r="S82" i="5"/>
  <c r="R82" i="5"/>
  <c r="Q82" i="5"/>
  <c r="P82" i="5"/>
  <c r="O82" i="5"/>
  <c r="N82" i="5"/>
  <c r="T81" i="5"/>
  <c r="S81" i="5"/>
  <c r="R81" i="5"/>
  <c r="Q81" i="5"/>
  <c r="P81" i="5"/>
  <c r="O81" i="5"/>
  <c r="N81" i="5"/>
  <c r="T80" i="5"/>
  <c r="S80" i="5"/>
  <c r="R80" i="5"/>
  <c r="Q80" i="5"/>
  <c r="P80" i="5"/>
  <c r="O80" i="5"/>
  <c r="N80" i="5"/>
  <c r="T79" i="5"/>
  <c r="S79" i="5"/>
  <c r="R79" i="5"/>
  <c r="Q79" i="5"/>
  <c r="O79" i="5"/>
  <c r="N79" i="5"/>
  <c r="T78" i="5"/>
  <c r="S78" i="5"/>
  <c r="R78" i="5"/>
  <c r="Q78" i="5"/>
  <c r="P78" i="5"/>
  <c r="O78" i="5"/>
  <c r="N78" i="5"/>
  <c r="T77" i="5"/>
  <c r="S77" i="5"/>
  <c r="R77" i="5"/>
  <c r="Q77" i="5"/>
  <c r="P77" i="5"/>
  <c r="O77" i="5"/>
  <c r="N77" i="5"/>
  <c r="T76" i="5"/>
  <c r="S76" i="5"/>
  <c r="R76" i="5"/>
  <c r="Q76" i="5"/>
  <c r="O76" i="5"/>
  <c r="N76" i="5"/>
  <c r="T75" i="5"/>
  <c r="S75" i="5"/>
  <c r="R75" i="5"/>
  <c r="Q75" i="5"/>
  <c r="P75" i="5"/>
  <c r="O75" i="5"/>
  <c r="N75" i="5"/>
  <c r="T74" i="5"/>
  <c r="S74" i="5"/>
  <c r="R74" i="5"/>
  <c r="Q74" i="5"/>
  <c r="O74" i="5"/>
  <c r="N74" i="5"/>
  <c r="T73" i="5"/>
  <c r="S73" i="5"/>
  <c r="R73" i="5"/>
  <c r="Q73" i="5"/>
  <c r="P73" i="5"/>
  <c r="O73" i="5"/>
  <c r="N73" i="5"/>
  <c r="T72" i="5"/>
  <c r="S72" i="5"/>
  <c r="R72" i="5"/>
  <c r="Q72" i="5"/>
  <c r="P72" i="5"/>
  <c r="O72" i="5"/>
  <c r="N72" i="5"/>
  <c r="T71" i="5"/>
  <c r="S71" i="5"/>
  <c r="R71" i="5"/>
  <c r="Q71" i="5"/>
  <c r="P71" i="5"/>
  <c r="O71" i="5"/>
  <c r="N71" i="5"/>
  <c r="T70" i="5"/>
  <c r="S70" i="5"/>
  <c r="R70" i="5"/>
  <c r="Q70" i="5"/>
  <c r="P70" i="5"/>
  <c r="O70" i="5"/>
  <c r="N70" i="5"/>
  <c r="T69" i="5"/>
  <c r="S69" i="5"/>
  <c r="R69" i="5"/>
  <c r="Q69" i="5"/>
  <c r="P69" i="5"/>
  <c r="O69" i="5"/>
  <c r="N69" i="5"/>
  <c r="T68" i="5"/>
  <c r="S68" i="5"/>
  <c r="R68" i="5"/>
  <c r="Q68" i="5"/>
  <c r="O68" i="5"/>
  <c r="N68" i="5"/>
  <c r="T67" i="5"/>
  <c r="S67" i="5"/>
  <c r="R67" i="5"/>
  <c r="Q67" i="5"/>
  <c r="P67" i="5"/>
  <c r="O67" i="5"/>
  <c r="N67" i="5"/>
  <c r="T66" i="5"/>
  <c r="S66" i="5"/>
  <c r="R66" i="5"/>
  <c r="Q66" i="5"/>
  <c r="O66" i="5"/>
  <c r="N66" i="5"/>
  <c r="T65" i="5"/>
  <c r="S65" i="5"/>
  <c r="R65" i="5"/>
  <c r="Q65" i="5"/>
  <c r="P65" i="5"/>
  <c r="O65" i="5"/>
  <c r="N65" i="5"/>
  <c r="T64" i="5"/>
  <c r="S64" i="5"/>
  <c r="R64" i="5"/>
  <c r="Q64" i="5"/>
  <c r="P64" i="5"/>
  <c r="O64" i="5"/>
  <c r="N64" i="5"/>
  <c r="T63" i="5"/>
  <c r="S63" i="5"/>
  <c r="R63" i="5"/>
  <c r="Q63" i="5"/>
  <c r="O63" i="5"/>
  <c r="N63" i="5"/>
  <c r="T62" i="5"/>
  <c r="S62" i="5"/>
  <c r="R62" i="5"/>
  <c r="Q62" i="5"/>
  <c r="P62" i="5"/>
  <c r="O62" i="5"/>
  <c r="N62" i="5"/>
  <c r="T61" i="5"/>
  <c r="S61" i="5"/>
  <c r="R61" i="5"/>
  <c r="Q61" i="5"/>
  <c r="P61" i="5"/>
  <c r="O61" i="5"/>
  <c r="N61" i="5"/>
  <c r="T60" i="5"/>
  <c r="S60" i="5"/>
  <c r="R60" i="5"/>
  <c r="Q60" i="5"/>
  <c r="P60" i="5"/>
  <c r="O60" i="5"/>
  <c r="N60" i="5"/>
  <c r="T59" i="5"/>
  <c r="S59" i="5"/>
  <c r="R59" i="5"/>
  <c r="Q59" i="5"/>
  <c r="O59" i="5"/>
  <c r="N59" i="5"/>
  <c r="T58" i="5"/>
  <c r="S58" i="5"/>
  <c r="R58" i="5"/>
  <c r="Q58" i="5"/>
  <c r="O58" i="5"/>
  <c r="N58" i="5"/>
  <c r="T57" i="5"/>
  <c r="S57" i="5"/>
  <c r="R57" i="5"/>
  <c r="Q57" i="5"/>
  <c r="P57" i="5"/>
  <c r="O57" i="5"/>
  <c r="N57" i="5"/>
  <c r="T56" i="5"/>
  <c r="S56" i="5"/>
  <c r="R56" i="5"/>
  <c r="Q56" i="5"/>
  <c r="P56" i="5"/>
  <c r="O56" i="5"/>
  <c r="N56" i="5"/>
  <c r="T55" i="5"/>
  <c r="S55" i="5"/>
  <c r="R55" i="5"/>
  <c r="Q55" i="5"/>
  <c r="P55" i="5"/>
  <c r="O55" i="5"/>
  <c r="N55" i="5"/>
  <c r="T54" i="5"/>
  <c r="S54" i="5"/>
  <c r="R54" i="5"/>
  <c r="Q54" i="5"/>
  <c r="P54" i="5"/>
  <c r="O54" i="5"/>
  <c r="N54" i="5"/>
  <c r="T53" i="5"/>
  <c r="S53" i="5"/>
  <c r="R53" i="5"/>
  <c r="Q53" i="5"/>
  <c r="P53" i="5"/>
  <c r="O53" i="5"/>
  <c r="N53" i="5"/>
  <c r="T52" i="5"/>
  <c r="S52" i="5"/>
  <c r="R52" i="5"/>
  <c r="Q52" i="5"/>
  <c r="P52" i="5"/>
  <c r="O52" i="5"/>
  <c r="N52" i="5"/>
  <c r="T51" i="5"/>
  <c r="S51" i="5"/>
  <c r="R51" i="5"/>
  <c r="Q51" i="5"/>
  <c r="P51" i="5"/>
  <c r="O51" i="5"/>
  <c r="N51" i="5"/>
  <c r="T50" i="5"/>
  <c r="S50" i="5"/>
  <c r="R50" i="5"/>
  <c r="Q50" i="5"/>
  <c r="P50" i="5"/>
  <c r="O50" i="5"/>
  <c r="N50" i="5"/>
  <c r="T49" i="5"/>
  <c r="S49" i="5"/>
  <c r="R49" i="5"/>
  <c r="Q49" i="5"/>
  <c r="P49" i="5"/>
  <c r="O49" i="5"/>
  <c r="N49" i="5"/>
  <c r="T48" i="5"/>
  <c r="S48" i="5"/>
  <c r="R48" i="5"/>
  <c r="Q48" i="5"/>
  <c r="P48" i="5"/>
  <c r="O48" i="5"/>
  <c r="N48" i="5"/>
  <c r="T47" i="5"/>
  <c r="S47" i="5"/>
  <c r="R47" i="5"/>
  <c r="Q47" i="5"/>
  <c r="O47" i="5"/>
  <c r="N47" i="5"/>
  <c r="T46" i="5"/>
  <c r="S46" i="5"/>
  <c r="R46" i="5"/>
  <c r="Q46" i="5"/>
  <c r="P46" i="5"/>
  <c r="O46" i="5"/>
  <c r="N46" i="5"/>
  <c r="T45" i="5"/>
  <c r="S45" i="5"/>
  <c r="R45" i="5"/>
  <c r="Q45" i="5"/>
  <c r="P45" i="5"/>
  <c r="O45" i="5"/>
  <c r="N45" i="5"/>
  <c r="T44" i="5"/>
  <c r="S44" i="5"/>
  <c r="R44" i="5"/>
  <c r="Q44" i="5"/>
  <c r="P44" i="5"/>
  <c r="O44" i="5"/>
  <c r="N44" i="5"/>
  <c r="T43" i="5"/>
  <c r="S43" i="5"/>
  <c r="R43" i="5"/>
  <c r="Q43" i="5"/>
  <c r="P43" i="5"/>
  <c r="O43" i="5"/>
  <c r="N43" i="5"/>
  <c r="T42" i="5"/>
  <c r="S42" i="5"/>
  <c r="R42" i="5"/>
  <c r="Q42" i="5"/>
  <c r="P42" i="5"/>
  <c r="O42" i="5"/>
  <c r="N42" i="5"/>
  <c r="T41" i="5"/>
  <c r="S41" i="5"/>
  <c r="R41" i="5"/>
  <c r="Q41" i="5"/>
  <c r="P41" i="5"/>
  <c r="O41" i="5"/>
  <c r="N41" i="5"/>
  <c r="T40" i="5"/>
  <c r="S40" i="5"/>
  <c r="R40" i="5"/>
  <c r="Q40" i="5"/>
  <c r="O40" i="5"/>
  <c r="N40" i="5"/>
  <c r="T39" i="5"/>
  <c r="S39" i="5"/>
  <c r="R39" i="5"/>
  <c r="Q39" i="5"/>
  <c r="P39" i="5"/>
  <c r="O39" i="5"/>
  <c r="N39" i="5"/>
  <c r="T38" i="5"/>
  <c r="S38" i="5"/>
  <c r="R38" i="5"/>
  <c r="Q38" i="5"/>
  <c r="P38" i="5"/>
  <c r="O38" i="5"/>
  <c r="N38" i="5"/>
  <c r="T37" i="5"/>
  <c r="S37" i="5"/>
  <c r="R37" i="5"/>
  <c r="Q37" i="5"/>
  <c r="O37" i="5"/>
  <c r="N37" i="5"/>
  <c r="T36" i="5"/>
  <c r="S36" i="5"/>
  <c r="R36" i="5"/>
  <c r="Q36" i="5"/>
  <c r="P36" i="5"/>
  <c r="O36" i="5"/>
  <c r="N36" i="5"/>
  <c r="T35" i="5"/>
  <c r="S35" i="5"/>
  <c r="R35" i="5"/>
  <c r="Q35" i="5"/>
  <c r="P35" i="5"/>
  <c r="O35" i="5"/>
  <c r="N35" i="5"/>
  <c r="T34" i="5"/>
  <c r="S34" i="5"/>
  <c r="R34" i="5"/>
  <c r="Q34" i="5"/>
  <c r="P34" i="5"/>
  <c r="O34" i="5"/>
  <c r="N34" i="5"/>
  <c r="T33" i="5"/>
  <c r="S33" i="5"/>
  <c r="R33" i="5"/>
  <c r="Q33" i="5"/>
  <c r="O33" i="5"/>
  <c r="N33" i="5"/>
  <c r="T32" i="5"/>
  <c r="S32" i="5"/>
  <c r="R32" i="5"/>
  <c r="Q32" i="5"/>
  <c r="P32" i="5"/>
  <c r="O32" i="5"/>
  <c r="N32" i="5"/>
  <c r="T31" i="5"/>
  <c r="S31" i="5"/>
  <c r="R31" i="5"/>
  <c r="Q31" i="5"/>
  <c r="P31" i="5"/>
  <c r="O31" i="5"/>
  <c r="N31" i="5"/>
  <c r="T30" i="5"/>
  <c r="S30" i="5"/>
  <c r="R30" i="5"/>
  <c r="Q30" i="5"/>
  <c r="P30" i="5"/>
  <c r="O30" i="5"/>
  <c r="N30" i="5"/>
  <c r="T29" i="5"/>
  <c r="S29" i="5"/>
  <c r="R29" i="5"/>
  <c r="Q29" i="5"/>
  <c r="P29" i="5"/>
  <c r="O29" i="5"/>
  <c r="N29" i="5"/>
  <c r="T28" i="5"/>
  <c r="S28" i="5"/>
  <c r="R28" i="5"/>
  <c r="Q28" i="5"/>
  <c r="P28" i="5"/>
  <c r="O28" i="5"/>
  <c r="N28" i="5"/>
  <c r="T27" i="5"/>
  <c r="S27" i="5"/>
  <c r="R27" i="5"/>
  <c r="Q27" i="5"/>
  <c r="P27" i="5"/>
  <c r="O27" i="5"/>
  <c r="N27" i="5"/>
  <c r="T26" i="5"/>
  <c r="S26" i="5"/>
  <c r="R26" i="5"/>
  <c r="Q26" i="5"/>
  <c r="P26" i="5"/>
  <c r="O26" i="5"/>
  <c r="N26" i="5"/>
  <c r="S25" i="5"/>
  <c r="R25" i="5"/>
  <c r="Q25" i="5"/>
  <c r="O25" i="5"/>
  <c r="N25" i="5"/>
  <c r="T24" i="5"/>
  <c r="S24" i="5"/>
  <c r="R24" i="5"/>
  <c r="Q24" i="5"/>
  <c r="P24" i="5"/>
  <c r="O24" i="5"/>
  <c r="N24" i="5"/>
  <c r="T23" i="5"/>
  <c r="S23" i="5"/>
  <c r="R23" i="5"/>
  <c r="Q23" i="5"/>
  <c r="O23" i="5"/>
  <c r="N23" i="5"/>
  <c r="T22" i="5"/>
  <c r="S22" i="5"/>
  <c r="R22" i="5"/>
  <c r="Q22" i="5"/>
  <c r="O22" i="5"/>
  <c r="N22" i="5"/>
  <c r="T21" i="5"/>
  <c r="S21" i="5"/>
  <c r="R21" i="5"/>
  <c r="Q21" i="5"/>
  <c r="P21" i="5"/>
  <c r="O21" i="5"/>
  <c r="N21" i="5"/>
  <c r="T20" i="5"/>
  <c r="S20" i="5"/>
  <c r="R20" i="5"/>
  <c r="Q20" i="5"/>
  <c r="P20" i="5"/>
  <c r="O20" i="5"/>
  <c r="N20" i="5"/>
  <c r="T19" i="5"/>
  <c r="S19" i="5"/>
  <c r="R19" i="5"/>
  <c r="Q19" i="5"/>
  <c r="P19" i="5"/>
  <c r="O19" i="5"/>
  <c r="N19" i="5"/>
  <c r="T18" i="5"/>
  <c r="S18" i="5"/>
  <c r="R18" i="5"/>
  <c r="Q18" i="5"/>
  <c r="P18" i="5"/>
  <c r="O18" i="5"/>
  <c r="N18" i="5"/>
  <c r="T17" i="5"/>
  <c r="S17" i="5"/>
  <c r="R17" i="5"/>
  <c r="Q17" i="5"/>
  <c r="P17" i="5"/>
  <c r="O17" i="5"/>
  <c r="N17" i="5"/>
  <c r="T16" i="5"/>
  <c r="S16" i="5"/>
  <c r="R16" i="5"/>
  <c r="Q16" i="5"/>
  <c r="P16" i="5"/>
  <c r="O16" i="5"/>
  <c r="N16" i="5"/>
  <c r="T15" i="5"/>
  <c r="S15" i="5"/>
  <c r="R15" i="5"/>
  <c r="Q15" i="5"/>
  <c r="P15" i="5"/>
  <c r="O15" i="5"/>
  <c r="N15" i="5"/>
  <c r="T14" i="5"/>
  <c r="S14" i="5"/>
  <c r="R14" i="5"/>
  <c r="Q14" i="5"/>
  <c r="P14" i="5"/>
  <c r="O14" i="5"/>
  <c r="N14" i="5"/>
  <c r="T13" i="5"/>
  <c r="S13" i="5"/>
  <c r="R13" i="5"/>
  <c r="Q13" i="5"/>
  <c r="P13" i="5"/>
  <c r="O13" i="5"/>
  <c r="N13" i="5"/>
  <c r="T12" i="5"/>
  <c r="S12" i="5"/>
  <c r="R12" i="5"/>
  <c r="Q12" i="5"/>
  <c r="P12" i="5"/>
  <c r="O12" i="5"/>
  <c r="N12" i="5"/>
  <c r="T11" i="5"/>
  <c r="S11" i="5"/>
  <c r="R11" i="5"/>
  <c r="Q11" i="5"/>
  <c r="P11" i="5"/>
  <c r="O11" i="5"/>
  <c r="N11" i="5"/>
  <c r="T10" i="5"/>
  <c r="S10" i="5"/>
  <c r="R10" i="5"/>
  <c r="Q10" i="5"/>
  <c r="O10" i="5"/>
  <c r="N10" i="5"/>
  <c r="T9" i="5"/>
  <c r="S9" i="5"/>
  <c r="R9" i="5"/>
  <c r="Q9" i="5"/>
  <c r="P9" i="5"/>
  <c r="O9" i="5"/>
  <c r="N9" i="5"/>
  <c r="T8" i="5"/>
  <c r="S8" i="5"/>
  <c r="R8" i="5"/>
  <c r="Q8" i="5"/>
  <c r="P8" i="5"/>
  <c r="O8" i="5"/>
  <c r="N8" i="5"/>
  <c r="T7" i="5"/>
  <c r="S7" i="5"/>
  <c r="R7" i="5"/>
  <c r="Q7" i="5"/>
  <c r="P7" i="5"/>
  <c r="O7" i="5"/>
  <c r="N7" i="5"/>
  <c r="T6" i="5"/>
  <c r="S6" i="5"/>
  <c r="R6" i="5"/>
  <c r="Q6" i="5"/>
  <c r="P6" i="5"/>
  <c r="O6" i="5"/>
  <c r="N6" i="5"/>
  <c r="M121" i="5"/>
  <c r="M120" i="5"/>
  <c r="M119" i="5"/>
  <c r="M118" i="5"/>
  <c r="M117" i="5"/>
  <c r="M116" i="5"/>
  <c r="M115" i="5"/>
  <c r="M114" i="5"/>
  <c r="M113" i="5"/>
  <c r="M112" i="5"/>
  <c r="M111" i="5"/>
  <c r="M110" i="5"/>
  <c r="M109" i="5"/>
  <c r="M108" i="5"/>
  <c r="M107" i="5"/>
  <c r="M106" i="5"/>
  <c r="M105" i="5"/>
  <c r="M104" i="5"/>
  <c r="M103" i="5"/>
  <c r="M102" i="5"/>
  <c r="M101" i="5"/>
  <c r="M100" i="5"/>
  <c r="M99" i="5"/>
  <c r="M98" i="5"/>
  <c r="M97" i="5"/>
  <c r="M96" i="5"/>
  <c r="M95" i="5"/>
  <c r="M94" i="5"/>
  <c r="M93" i="5"/>
  <c r="M92" i="5"/>
  <c r="M91" i="5"/>
  <c r="M90" i="5"/>
  <c r="M89" i="5"/>
  <c r="M88"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M9" i="5"/>
  <c r="M8" i="5"/>
  <c r="M7" i="5"/>
  <c r="M6" i="5"/>
  <c r="K121" i="5"/>
  <c r="J121" i="5"/>
  <c r="K120" i="5"/>
  <c r="J120" i="5"/>
  <c r="K119" i="5"/>
  <c r="J119" i="5"/>
  <c r="K118" i="5"/>
  <c r="J118" i="5"/>
  <c r="K117" i="5"/>
  <c r="J117" i="5"/>
  <c r="K116" i="5"/>
  <c r="J116" i="5"/>
  <c r="K115" i="5"/>
  <c r="J115" i="5"/>
  <c r="K114" i="5"/>
  <c r="J114" i="5"/>
  <c r="K113" i="5"/>
  <c r="J113" i="5"/>
  <c r="K112" i="5"/>
  <c r="J112" i="5"/>
  <c r="K111" i="5"/>
  <c r="J111" i="5"/>
  <c r="K110" i="5"/>
  <c r="J110" i="5"/>
  <c r="K109" i="5"/>
  <c r="J109" i="5"/>
  <c r="K108" i="5"/>
  <c r="J108" i="5"/>
  <c r="K107" i="5"/>
  <c r="J107" i="5"/>
  <c r="K106" i="5"/>
  <c r="J106" i="5"/>
  <c r="K105" i="5"/>
  <c r="J105" i="5"/>
  <c r="K104" i="5"/>
  <c r="J104" i="5"/>
  <c r="K103" i="5"/>
  <c r="J103" i="5"/>
  <c r="K102" i="5"/>
  <c r="J102" i="5"/>
  <c r="K101" i="5"/>
  <c r="J101" i="5"/>
  <c r="K100" i="5"/>
  <c r="J100" i="5"/>
  <c r="K99" i="5"/>
  <c r="J99" i="5"/>
  <c r="K98" i="5"/>
  <c r="J98" i="5"/>
  <c r="K97" i="5"/>
  <c r="J97" i="5"/>
  <c r="K96" i="5"/>
  <c r="J96" i="5"/>
  <c r="K95" i="5"/>
  <c r="J95" i="5"/>
  <c r="K94" i="5"/>
  <c r="J94" i="5"/>
  <c r="K93" i="5"/>
  <c r="J93" i="5"/>
  <c r="K92" i="5"/>
  <c r="J92" i="5"/>
  <c r="K91" i="5"/>
  <c r="J91" i="5"/>
  <c r="K90" i="5"/>
  <c r="J90" i="5"/>
  <c r="K89" i="5"/>
  <c r="J89" i="5"/>
  <c r="K88" i="5"/>
  <c r="J88" i="5"/>
  <c r="K87" i="5"/>
  <c r="J87" i="5"/>
  <c r="K86" i="5"/>
  <c r="J86" i="5"/>
  <c r="K85" i="5"/>
  <c r="J85" i="5"/>
  <c r="K84" i="5"/>
  <c r="J84" i="5"/>
  <c r="K83" i="5"/>
  <c r="J83" i="5"/>
  <c r="K82" i="5"/>
  <c r="J82" i="5"/>
  <c r="K81" i="5"/>
  <c r="J81" i="5"/>
  <c r="K80" i="5"/>
  <c r="J80" i="5"/>
  <c r="K79" i="5"/>
  <c r="J79" i="5"/>
  <c r="K78" i="5"/>
  <c r="J78" i="5"/>
  <c r="K77" i="5"/>
  <c r="J77" i="5"/>
  <c r="K76" i="5"/>
  <c r="J76" i="5"/>
  <c r="K75" i="5"/>
  <c r="J75" i="5"/>
  <c r="K74" i="5"/>
  <c r="J74" i="5"/>
  <c r="K73" i="5"/>
  <c r="J73" i="5"/>
  <c r="K72" i="5"/>
  <c r="J72" i="5"/>
  <c r="K71" i="5"/>
  <c r="J71" i="5"/>
  <c r="K70" i="5"/>
  <c r="J70" i="5"/>
  <c r="K69" i="5"/>
  <c r="J69" i="5"/>
  <c r="K68" i="5"/>
  <c r="J68" i="5"/>
  <c r="K67" i="5"/>
  <c r="J67" i="5"/>
  <c r="K66" i="5"/>
  <c r="J66" i="5"/>
  <c r="K65" i="5"/>
  <c r="J65" i="5"/>
  <c r="K64" i="5"/>
  <c r="J64" i="5"/>
  <c r="K63" i="5"/>
  <c r="J63" i="5"/>
  <c r="K62" i="5"/>
  <c r="J62" i="5"/>
  <c r="K61" i="5"/>
  <c r="J61" i="5"/>
  <c r="K60" i="5"/>
  <c r="J60" i="5"/>
  <c r="K59" i="5"/>
  <c r="J59" i="5"/>
  <c r="K58" i="5"/>
  <c r="J58" i="5"/>
  <c r="K57" i="5"/>
  <c r="J57" i="5"/>
  <c r="K56" i="5"/>
  <c r="J56" i="5"/>
  <c r="K55" i="5"/>
  <c r="J55" i="5"/>
  <c r="K54" i="5"/>
  <c r="J54" i="5"/>
  <c r="K53" i="5"/>
  <c r="J53" i="5"/>
  <c r="K52" i="5"/>
  <c r="J52" i="5"/>
  <c r="K51" i="5"/>
  <c r="J51" i="5"/>
  <c r="K50" i="5"/>
  <c r="J50" i="5"/>
  <c r="K49" i="5"/>
  <c r="J49" i="5"/>
  <c r="K48" i="5"/>
  <c r="J48" i="5"/>
  <c r="K47" i="5"/>
  <c r="J47" i="5"/>
  <c r="K46" i="5"/>
  <c r="J46" i="5"/>
  <c r="K45" i="5"/>
  <c r="J45" i="5"/>
  <c r="K44" i="5"/>
  <c r="J44" i="5"/>
  <c r="K43" i="5"/>
  <c r="J43" i="5"/>
  <c r="K42" i="5"/>
  <c r="J42" i="5"/>
  <c r="K41" i="5"/>
  <c r="J41" i="5"/>
  <c r="K40" i="5"/>
  <c r="J40" i="5"/>
  <c r="K39" i="5"/>
  <c r="J39" i="5"/>
  <c r="K38" i="5"/>
  <c r="J38" i="5"/>
  <c r="K37" i="5"/>
  <c r="J37" i="5"/>
  <c r="K36" i="5"/>
  <c r="J36" i="5"/>
  <c r="K35" i="5"/>
  <c r="J35" i="5"/>
  <c r="K34" i="5"/>
  <c r="J34" i="5"/>
  <c r="K33" i="5"/>
  <c r="J33" i="5"/>
  <c r="K32" i="5"/>
  <c r="J32" i="5"/>
  <c r="K31" i="5"/>
  <c r="J31" i="5"/>
  <c r="K30" i="5"/>
  <c r="J30" i="5"/>
  <c r="K29" i="5"/>
  <c r="J29" i="5"/>
  <c r="K28" i="5"/>
  <c r="J28" i="5"/>
  <c r="K27" i="5"/>
  <c r="J27" i="5"/>
  <c r="K26" i="5"/>
  <c r="J26" i="5"/>
  <c r="K25" i="5"/>
  <c r="J25" i="5"/>
  <c r="K24" i="5"/>
  <c r="J24" i="5"/>
  <c r="K23" i="5"/>
  <c r="J23" i="5"/>
  <c r="K22" i="5"/>
  <c r="J22" i="5"/>
  <c r="K21" i="5"/>
  <c r="J21" i="5"/>
  <c r="K20" i="5"/>
  <c r="J20" i="5"/>
  <c r="K19" i="5"/>
  <c r="J19" i="5"/>
  <c r="K18" i="5"/>
  <c r="J18" i="5"/>
  <c r="K17" i="5"/>
  <c r="J17" i="5"/>
  <c r="K16" i="5"/>
  <c r="J16" i="5"/>
  <c r="K15" i="5"/>
  <c r="J15" i="5"/>
  <c r="K14" i="5"/>
  <c r="J14" i="5"/>
  <c r="K13" i="5"/>
  <c r="J13" i="5"/>
  <c r="K12" i="5"/>
  <c r="J12" i="5"/>
  <c r="K11" i="5"/>
  <c r="J11" i="5"/>
  <c r="K10" i="5"/>
  <c r="J10" i="5"/>
  <c r="K9" i="5"/>
  <c r="J9" i="5"/>
  <c r="K8" i="5"/>
  <c r="J8" i="5"/>
  <c r="K7" i="5"/>
  <c r="J7" i="5"/>
  <c r="K6" i="5"/>
  <c r="J6"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H121" i="5"/>
  <c r="H120" i="5"/>
  <c r="H119" i="5"/>
  <c r="H118" i="5"/>
  <c r="H117"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CC122" i="5"/>
  <c r="CF122" i="5"/>
  <c r="CE122" i="5"/>
  <c r="CD122" i="5"/>
  <c r="BX122" i="5"/>
  <c r="DP122" i="5"/>
  <c r="DO122" i="5"/>
  <c r="DM122" i="5"/>
  <c r="DL122" i="5"/>
  <c r="BS122" i="5"/>
  <c r="BR122" i="5"/>
  <c r="BQ122" i="5"/>
  <c r="BP122" i="5"/>
  <c r="BI122" i="5"/>
  <c r="CY122" i="5"/>
  <c r="CX122" i="5"/>
  <c r="BG122" i="5"/>
  <c r="BF122" i="5"/>
  <c r="BE122" i="5"/>
  <c r="BB122" i="5"/>
  <c r="AZ122" i="5"/>
  <c r="AV122" i="5"/>
  <c r="AW122" i="5"/>
  <c r="AU122" i="5"/>
  <c r="CU122" i="5"/>
  <c r="CT122" i="5"/>
  <c r="CS122" i="5"/>
  <c r="AD122" i="5"/>
  <c r="L122" i="5"/>
  <c r="B23" i="2" s="1"/>
  <c r="G122" i="5"/>
  <c r="E122" i="5"/>
  <c r="DV121" i="5"/>
  <c r="DU121" i="5"/>
  <c r="DV120" i="5"/>
  <c r="DU120" i="5"/>
  <c r="DV119" i="5"/>
  <c r="DU119" i="5"/>
  <c r="AT119" i="5"/>
  <c r="AS119" i="5"/>
  <c r="DV118" i="5"/>
  <c r="DU118" i="5"/>
  <c r="AT118" i="5"/>
  <c r="DV117" i="5"/>
  <c r="DU117" i="5"/>
  <c r="AT117" i="5"/>
  <c r="AS117" i="5"/>
  <c r="DV116" i="5"/>
  <c r="DU116" i="5"/>
  <c r="DV115" i="5"/>
  <c r="DU115" i="5"/>
  <c r="AT115" i="5"/>
  <c r="AS115" i="5"/>
  <c r="DV114" i="5"/>
  <c r="DU114" i="5"/>
  <c r="DV113" i="5"/>
  <c r="DU113" i="5"/>
  <c r="AT113" i="5"/>
  <c r="AS113" i="5"/>
  <c r="DV112" i="5"/>
  <c r="DU112" i="5"/>
  <c r="AT112" i="5"/>
  <c r="AS112" i="5"/>
  <c r="DV111" i="5"/>
  <c r="DU111" i="5"/>
  <c r="DV110" i="5"/>
  <c r="DU110" i="5"/>
  <c r="AT110" i="5"/>
  <c r="AS110" i="5"/>
  <c r="DV109" i="5"/>
  <c r="DU109" i="5"/>
  <c r="AT109" i="5"/>
  <c r="AS109" i="5"/>
  <c r="DV108" i="5"/>
  <c r="DU108" i="5"/>
  <c r="AT108" i="5"/>
  <c r="AS108" i="5"/>
  <c r="DV107" i="5"/>
  <c r="DU107" i="5"/>
  <c r="AT107" i="5"/>
  <c r="AS107" i="5"/>
  <c r="DV106" i="5"/>
  <c r="DU106" i="5"/>
  <c r="DV105" i="5"/>
  <c r="DU105" i="5"/>
  <c r="DV104" i="5"/>
  <c r="DU104" i="5"/>
  <c r="AT104" i="5"/>
  <c r="AS104" i="5"/>
  <c r="DV103" i="5"/>
  <c r="DU103" i="5"/>
  <c r="AT103" i="5"/>
  <c r="AS103" i="5"/>
  <c r="DV102" i="5"/>
  <c r="DU102" i="5"/>
  <c r="DV101" i="5"/>
  <c r="DU101" i="5"/>
  <c r="AT101" i="5"/>
  <c r="AS101" i="5"/>
  <c r="DV100" i="5"/>
  <c r="DU100" i="5"/>
  <c r="DV99" i="5"/>
  <c r="DU99" i="5"/>
  <c r="DV98" i="5"/>
  <c r="DU98" i="5"/>
  <c r="AT98" i="5"/>
  <c r="AS98" i="5"/>
  <c r="DV97" i="5"/>
  <c r="DU97" i="5"/>
  <c r="DV96" i="5"/>
  <c r="DU96" i="5"/>
  <c r="DV95" i="5"/>
  <c r="DU95" i="5"/>
  <c r="DV94" i="5"/>
  <c r="DU94" i="5"/>
  <c r="AT94" i="5"/>
  <c r="AS94" i="5"/>
  <c r="DV93" i="5"/>
  <c r="DU93" i="5"/>
  <c r="DV92" i="5"/>
  <c r="DU92" i="5"/>
  <c r="DV91" i="5"/>
  <c r="DU91" i="5"/>
  <c r="DV90" i="5"/>
  <c r="DU90" i="5"/>
  <c r="DV89" i="5"/>
  <c r="DU89" i="5"/>
  <c r="AT89" i="5"/>
  <c r="AS89" i="5"/>
  <c r="DV88" i="5"/>
  <c r="DU88" i="5"/>
  <c r="AT88" i="5"/>
  <c r="AS88" i="5"/>
  <c r="DV87" i="5"/>
  <c r="DU87" i="5"/>
  <c r="AT87" i="5"/>
  <c r="AS87" i="5"/>
  <c r="DV86" i="5"/>
  <c r="DU86" i="5"/>
  <c r="AT86" i="5"/>
  <c r="AS86" i="5"/>
  <c r="DV85" i="5"/>
  <c r="DU85" i="5"/>
  <c r="AT85" i="5"/>
  <c r="AS85" i="5"/>
  <c r="DV84" i="5"/>
  <c r="DU84" i="5"/>
  <c r="DV83" i="5"/>
  <c r="DU83" i="5"/>
  <c r="DV82" i="5"/>
  <c r="DU82" i="5"/>
  <c r="AT82" i="5"/>
  <c r="AS82" i="5"/>
  <c r="DV81" i="5"/>
  <c r="DU81" i="5"/>
  <c r="AT81" i="5"/>
  <c r="AS81" i="5"/>
  <c r="DV80" i="5"/>
  <c r="DU80" i="5"/>
  <c r="DV79" i="5"/>
  <c r="DU79" i="5"/>
  <c r="AT79" i="5"/>
  <c r="AS79" i="5"/>
  <c r="DV78" i="5"/>
  <c r="DU78" i="5"/>
  <c r="DV77" i="5"/>
  <c r="DU77" i="5"/>
  <c r="DV76" i="5"/>
  <c r="DU76" i="5"/>
  <c r="AT76" i="5"/>
  <c r="AS76" i="5"/>
  <c r="DV75" i="5"/>
  <c r="DU75" i="5"/>
  <c r="AT75" i="5"/>
  <c r="AS75" i="5"/>
  <c r="DV74" i="5"/>
  <c r="DU74" i="5"/>
  <c r="DV73" i="5"/>
  <c r="DU73" i="5"/>
  <c r="DV72" i="5"/>
  <c r="DU72" i="5"/>
  <c r="DV71" i="5"/>
  <c r="DU71" i="5"/>
  <c r="DV70" i="5"/>
  <c r="DU70" i="5"/>
  <c r="AT70" i="5"/>
  <c r="AS70" i="5"/>
  <c r="DV69" i="5"/>
  <c r="DU69" i="5"/>
  <c r="DV68" i="5"/>
  <c r="DU68" i="5"/>
  <c r="AT68" i="5"/>
  <c r="AS68" i="5"/>
  <c r="DV67" i="5"/>
  <c r="DU67" i="5"/>
  <c r="DV66" i="5"/>
  <c r="DU66" i="5"/>
  <c r="DV65" i="5"/>
  <c r="DU65" i="5"/>
  <c r="DV64" i="5"/>
  <c r="DU64" i="5"/>
  <c r="AT64" i="5"/>
  <c r="AS64" i="5"/>
  <c r="DV63" i="5"/>
  <c r="DU63" i="5"/>
  <c r="AT63" i="5"/>
  <c r="AS63" i="5"/>
  <c r="DV62" i="5"/>
  <c r="DU62" i="5"/>
  <c r="AT62" i="5"/>
  <c r="AS62" i="5"/>
  <c r="DV61" i="5"/>
  <c r="DU61" i="5"/>
  <c r="AT61" i="5"/>
  <c r="AS61" i="5"/>
  <c r="DV60" i="5"/>
  <c r="DU60" i="5"/>
  <c r="DV59" i="5"/>
  <c r="DU59" i="5"/>
  <c r="DV58" i="5"/>
  <c r="DU58" i="5"/>
  <c r="AT58" i="5"/>
  <c r="AS58" i="5"/>
  <c r="DV57" i="5"/>
  <c r="DU57" i="5"/>
  <c r="AT57" i="5"/>
  <c r="AS57" i="5"/>
  <c r="DV56" i="5"/>
  <c r="DU56" i="5"/>
  <c r="DV55" i="5"/>
  <c r="DU55" i="5"/>
  <c r="AT55" i="5"/>
  <c r="AS55" i="5"/>
  <c r="DV54" i="5"/>
  <c r="DU54" i="5"/>
  <c r="DV53" i="5"/>
  <c r="DU53" i="5"/>
  <c r="DV52" i="5"/>
  <c r="DU52" i="5"/>
  <c r="AT52" i="5"/>
  <c r="AS52" i="5"/>
  <c r="DV51" i="5"/>
  <c r="DU51" i="5"/>
  <c r="DV50" i="5"/>
  <c r="DU50" i="5"/>
  <c r="AT50" i="5"/>
  <c r="AS50" i="5"/>
  <c r="DV49" i="5"/>
  <c r="DU49" i="5"/>
  <c r="DV48" i="5"/>
  <c r="DU48" i="5"/>
  <c r="DV47" i="5"/>
  <c r="DU47" i="5"/>
  <c r="AT47" i="5"/>
  <c r="AS47" i="5"/>
  <c r="DV46" i="5"/>
  <c r="DU46" i="5"/>
  <c r="AT46" i="5"/>
  <c r="AS46" i="5"/>
  <c r="DV45" i="5"/>
  <c r="DU45" i="5"/>
  <c r="DV44" i="5"/>
  <c r="DU44" i="5"/>
  <c r="AT44" i="5"/>
  <c r="AS44" i="5"/>
  <c r="DV43" i="5"/>
  <c r="DU43" i="5"/>
  <c r="DV42" i="5"/>
  <c r="DU42" i="5"/>
  <c r="DV41" i="5"/>
  <c r="DU41" i="5"/>
  <c r="AT41" i="5"/>
  <c r="AS41" i="5"/>
  <c r="DV40" i="5"/>
  <c r="DU40" i="5"/>
  <c r="AT40" i="5"/>
  <c r="AS40" i="5"/>
  <c r="DV39" i="5"/>
  <c r="DU39" i="5"/>
  <c r="AT39" i="5"/>
  <c r="AS39" i="5"/>
  <c r="DV38" i="5"/>
  <c r="DU38" i="5"/>
  <c r="DV37" i="5"/>
  <c r="DU37" i="5"/>
  <c r="DV36" i="5"/>
  <c r="DU36" i="5"/>
  <c r="DV35" i="5"/>
  <c r="DU35" i="5"/>
  <c r="DV34" i="5"/>
  <c r="DU34" i="5"/>
  <c r="DV33" i="5"/>
  <c r="DU33" i="5"/>
  <c r="AT33" i="5"/>
  <c r="AS33" i="5"/>
  <c r="DV32" i="5"/>
  <c r="DU32" i="5"/>
  <c r="DV31" i="5"/>
  <c r="DU31" i="5"/>
  <c r="DV30" i="5"/>
  <c r="DU30" i="5"/>
  <c r="DV29" i="5"/>
  <c r="DU29" i="5"/>
  <c r="DV28" i="5"/>
  <c r="DU28" i="5"/>
  <c r="AT28" i="5"/>
  <c r="AS28" i="5"/>
  <c r="DV27" i="5"/>
  <c r="DU27" i="5"/>
  <c r="DV26" i="5"/>
  <c r="DU26" i="5"/>
  <c r="DV25" i="5"/>
  <c r="DU25" i="5"/>
  <c r="AT25" i="5"/>
  <c r="AS25" i="5"/>
  <c r="DV24" i="5"/>
  <c r="DU24" i="5"/>
  <c r="AT24" i="5"/>
  <c r="AS24" i="5"/>
  <c r="DV23" i="5"/>
  <c r="DU23" i="5"/>
  <c r="AT23" i="5"/>
  <c r="DV22" i="5"/>
  <c r="DU22" i="5"/>
  <c r="AT22" i="5"/>
  <c r="AS22" i="5"/>
  <c r="DV21" i="5"/>
  <c r="DU21" i="5"/>
  <c r="DV20" i="5"/>
  <c r="DU20" i="5"/>
  <c r="AT20" i="5"/>
  <c r="AS20" i="5"/>
  <c r="DV19" i="5"/>
  <c r="DU19" i="5"/>
  <c r="DV18" i="5"/>
  <c r="DU18" i="5"/>
  <c r="AT18" i="5"/>
  <c r="AS18" i="5"/>
  <c r="DV17" i="5"/>
  <c r="DU17" i="5"/>
  <c r="DV16" i="5"/>
  <c r="DU16" i="5"/>
  <c r="AT16" i="5"/>
  <c r="AS16" i="5"/>
  <c r="DV15" i="5"/>
  <c r="DU15" i="5"/>
  <c r="DV14" i="5"/>
  <c r="DU14" i="5"/>
  <c r="AT14" i="5"/>
  <c r="AS14" i="5"/>
  <c r="DV13" i="5"/>
  <c r="DU13" i="5"/>
  <c r="AT13" i="5"/>
  <c r="AS13" i="5"/>
  <c r="DV12" i="5"/>
  <c r="DU12" i="5"/>
  <c r="DV11" i="5"/>
  <c r="DU11" i="5"/>
  <c r="AT11" i="5"/>
  <c r="AS11" i="5"/>
  <c r="DV10" i="5"/>
  <c r="DU10" i="5"/>
  <c r="DV9" i="5"/>
  <c r="DU9" i="5"/>
  <c r="DV8" i="5"/>
  <c r="DU8" i="5"/>
  <c r="DV7" i="5"/>
  <c r="DU7" i="5"/>
  <c r="AT7" i="5"/>
  <c r="AS7" i="5"/>
  <c r="DV6" i="5"/>
  <c r="DU6" i="5"/>
  <c r="AT6" i="5"/>
  <c r="AS6" i="5"/>
  <c r="P104" i="1"/>
  <c r="P104" i="5" s="1"/>
  <c r="P102" i="1"/>
  <c r="P102" i="5" s="1"/>
  <c r="P101" i="1"/>
  <c r="P101" i="5" s="1"/>
  <c r="P100" i="1"/>
  <c r="P100" i="5" s="1"/>
  <c r="P94" i="1"/>
  <c r="P94" i="5" s="1"/>
  <c r="P93" i="1"/>
  <c r="P93" i="5" s="1"/>
  <c r="P92" i="1"/>
  <c r="P92" i="5" s="1"/>
  <c r="P91" i="1"/>
  <c r="P91" i="5" s="1"/>
  <c r="P90" i="1"/>
  <c r="P90" i="5" s="1"/>
  <c r="P89" i="1"/>
  <c r="P89" i="5" s="1"/>
  <c r="P85" i="1"/>
  <c r="P85" i="5" s="1"/>
  <c r="P83" i="1"/>
  <c r="P83" i="5" s="1"/>
  <c r="P79" i="1"/>
  <c r="P79" i="5" s="1"/>
  <c r="P76" i="1"/>
  <c r="P76" i="5" s="1"/>
  <c r="P74" i="1"/>
  <c r="P74" i="5" s="1"/>
  <c r="P68" i="1"/>
  <c r="P68" i="5" s="1"/>
  <c r="P66" i="1"/>
  <c r="P66" i="5" s="1"/>
  <c r="P63" i="1"/>
  <c r="P63" i="5" s="1"/>
  <c r="P59" i="1"/>
  <c r="P59" i="5" s="1"/>
  <c r="P58" i="1"/>
  <c r="P58" i="5" s="1"/>
  <c r="P47" i="1"/>
  <c r="P47" i="5" s="1"/>
  <c r="P40" i="1"/>
  <c r="P40" i="5" s="1"/>
  <c r="P37" i="1"/>
  <c r="P37" i="5" s="1"/>
  <c r="P33" i="1"/>
  <c r="P33" i="5" s="1"/>
  <c r="P25" i="1"/>
  <c r="P25" i="5" s="1"/>
  <c r="P23" i="1"/>
  <c r="P23" i="5" s="1"/>
  <c r="P22" i="1"/>
  <c r="P22" i="5" s="1"/>
  <c r="P10" i="1"/>
  <c r="P10" i="5" s="1"/>
  <c r="CL15" i="7" l="1"/>
  <c r="Y11" i="3" s="1"/>
  <c r="Z11" i="3" s="1"/>
  <c r="CV15" i="6" s="1"/>
  <c r="CL48" i="7"/>
  <c r="Y44" i="3" s="1"/>
  <c r="Z44" i="3" s="1"/>
  <c r="CV48" i="6" s="1"/>
  <c r="CL91" i="7"/>
  <c r="Y87" i="3" s="1"/>
  <c r="Z87" i="3" s="1"/>
  <c r="CV91" i="6" s="1"/>
  <c r="CL8" i="7"/>
  <c r="Y4" i="3" s="1"/>
  <c r="Z4" i="3" s="1"/>
  <c r="CV8" i="6" s="1"/>
  <c r="CL16" i="7"/>
  <c r="Y12" i="3" s="1"/>
  <c r="Z12" i="3" s="1"/>
  <c r="CV16" i="6" s="1"/>
  <c r="CL29" i="7"/>
  <c r="Y25" i="3" s="1"/>
  <c r="Z25" i="3" s="1"/>
  <c r="CV29" i="6" s="1"/>
  <c r="CL38" i="7"/>
  <c r="Y34" i="3" s="1"/>
  <c r="Z34" i="3" s="1"/>
  <c r="CV38" i="6" s="1"/>
  <c r="CL49" i="7"/>
  <c r="Y45" i="3" s="1"/>
  <c r="Z45" i="3" s="1"/>
  <c r="CV49" i="6" s="1"/>
  <c r="CL59" i="7"/>
  <c r="Y55" i="3" s="1"/>
  <c r="Z55" i="3" s="1"/>
  <c r="CV59" i="6" s="1"/>
  <c r="CL69" i="7"/>
  <c r="Y65" i="3" s="1"/>
  <c r="Z65" i="3" s="1"/>
  <c r="CV69" i="6" s="1"/>
  <c r="CL80" i="7"/>
  <c r="Y76" i="3" s="1"/>
  <c r="Z76" i="3" s="1"/>
  <c r="CV80" i="6" s="1"/>
  <c r="CL92" i="7"/>
  <c r="Y88" i="3" s="1"/>
  <c r="Z88" i="3" s="1"/>
  <c r="CV92" i="6" s="1"/>
  <c r="CL105" i="7"/>
  <c r="Y101" i="3" s="1"/>
  <c r="Z101" i="3" s="1"/>
  <c r="CV105" i="6" s="1"/>
  <c r="CL115" i="7"/>
  <c r="Y111" i="3" s="1"/>
  <c r="Z111" i="3" s="1"/>
  <c r="CV115" i="6" s="1"/>
  <c r="CL9" i="7"/>
  <c r="Y5" i="3" s="1"/>
  <c r="Z5" i="3" s="1"/>
  <c r="CV9" i="6" s="1"/>
  <c r="CL17" i="7"/>
  <c r="Y13" i="3" s="1"/>
  <c r="Z13" i="3" s="1"/>
  <c r="CV17" i="6" s="1"/>
  <c r="CL30" i="7"/>
  <c r="Y26" i="3" s="1"/>
  <c r="Z26" i="3" s="1"/>
  <c r="CV30" i="6" s="1"/>
  <c r="CL39" i="7"/>
  <c r="Y35" i="3" s="1"/>
  <c r="Z35" i="3" s="1"/>
  <c r="CV39" i="6" s="1"/>
  <c r="CL50" i="7"/>
  <c r="Y46" i="3" s="1"/>
  <c r="Z46" i="3" s="1"/>
  <c r="CV50" i="6" s="1"/>
  <c r="CL60" i="7"/>
  <c r="Y56" i="3" s="1"/>
  <c r="Z56" i="3" s="1"/>
  <c r="CV60" i="6" s="1"/>
  <c r="CL70" i="7"/>
  <c r="Y66" i="3" s="1"/>
  <c r="Z66" i="3" s="1"/>
  <c r="CV70" i="6" s="1"/>
  <c r="CL82" i="7"/>
  <c r="Y78" i="3" s="1"/>
  <c r="Z78" i="3" s="1"/>
  <c r="CV82" i="6" s="1"/>
  <c r="CL95" i="7"/>
  <c r="Y91" i="3" s="1"/>
  <c r="Z91" i="3" s="1"/>
  <c r="CV95" i="6" s="1"/>
  <c r="CL106" i="7"/>
  <c r="Y102" i="3" s="1"/>
  <c r="Z102" i="3" s="1"/>
  <c r="CV106" i="6" s="1"/>
  <c r="CL116" i="7"/>
  <c r="Y112" i="3" s="1"/>
  <c r="Z112" i="3" s="1"/>
  <c r="CV116" i="6" s="1"/>
  <c r="CL67" i="7"/>
  <c r="Y63" i="3" s="1"/>
  <c r="Z63" i="3" s="1"/>
  <c r="CV67" i="6" s="1"/>
  <c r="CL10" i="7"/>
  <c r="Y6" i="3" s="1"/>
  <c r="Z6" i="3" s="1"/>
  <c r="CV10" i="6" s="1"/>
  <c r="CL18" i="7"/>
  <c r="Y14" i="3" s="1"/>
  <c r="Z14" i="3" s="1"/>
  <c r="CV18" i="6" s="1"/>
  <c r="CL31" i="7"/>
  <c r="Y27" i="3" s="1"/>
  <c r="Z27" i="3" s="1"/>
  <c r="CV31" i="6" s="1"/>
  <c r="CL41" i="7"/>
  <c r="Y37" i="3" s="1"/>
  <c r="Z37" i="3" s="1"/>
  <c r="CV41" i="6" s="1"/>
  <c r="CL51" i="7"/>
  <c r="Y47" i="3" s="1"/>
  <c r="Z47" i="3" s="1"/>
  <c r="CV51" i="6" s="1"/>
  <c r="CL61" i="7"/>
  <c r="Y57" i="3" s="1"/>
  <c r="Z57" i="3" s="1"/>
  <c r="CV61" i="6" s="1"/>
  <c r="CL71" i="7"/>
  <c r="Y67" i="3" s="1"/>
  <c r="Z67" i="3" s="1"/>
  <c r="CV71" i="6" s="1"/>
  <c r="CL84" i="7"/>
  <c r="Y80" i="3" s="1"/>
  <c r="Z80" i="3" s="1"/>
  <c r="CV84" i="6" s="1"/>
  <c r="CL96" i="7"/>
  <c r="Y92" i="3" s="1"/>
  <c r="Z92" i="3" s="1"/>
  <c r="CV96" i="6" s="1"/>
  <c r="CL107" i="7"/>
  <c r="Y103" i="3" s="1"/>
  <c r="Z103" i="3" s="1"/>
  <c r="CV107" i="6" s="1"/>
  <c r="CL117" i="7"/>
  <c r="Y113" i="3" s="1"/>
  <c r="Z113" i="3" s="1"/>
  <c r="CV117" i="6" s="1"/>
  <c r="CL7" i="7"/>
  <c r="Y3" i="3" s="1"/>
  <c r="CL122" i="6"/>
  <c r="CL78" i="7"/>
  <c r="Y74" i="3" s="1"/>
  <c r="Z74" i="3" s="1"/>
  <c r="CV78" i="6" s="1"/>
  <c r="CL11" i="7"/>
  <c r="Y7" i="3" s="1"/>
  <c r="Z7" i="3" s="1"/>
  <c r="CV11" i="6" s="1"/>
  <c r="CL19" i="7"/>
  <c r="Y15" i="3" s="1"/>
  <c r="Z15" i="3" s="1"/>
  <c r="CV19" i="6" s="1"/>
  <c r="CL32" i="7"/>
  <c r="Y28" i="3" s="1"/>
  <c r="Z28" i="3" s="1"/>
  <c r="CV32" i="6" s="1"/>
  <c r="CL42" i="7"/>
  <c r="Y38" i="3" s="1"/>
  <c r="Z38" i="3" s="1"/>
  <c r="CV42" i="6" s="1"/>
  <c r="CL52" i="7"/>
  <c r="Y48" i="3" s="1"/>
  <c r="Z48" i="3" s="1"/>
  <c r="CV52" i="6" s="1"/>
  <c r="CL62" i="7"/>
  <c r="Y58" i="3" s="1"/>
  <c r="Z58" i="3" s="1"/>
  <c r="CV62" i="6" s="1"/>
  <c r="CL72" i="7"/>
  <c r="Y68" i="3" s="1"/>
  <c r="Z68" i="3" s="1"/>
  <c r="CV72" i="6" s="1"/>
  <c r="CL86" i="7"/>
  <c r="Y82" i="3" s="1"/>
  <c r="Z82" i="3" s="1"/>
  <c r="CV86" i="6" s="1"/>
  <c r="CL97" i="7"/>
  <c r="Y93" i="3" s="1"/>
  <c r="Z93" i="3" s="1"/>
  <c r="CV97" i="6" s="1"/>
  <c r="CL110" i="7"/>
  <c r="Y106" i="3" s="1"/>
  <c r="Z106" i="3" s="1"/>
  <c r="CV110" i="6" s="1"/>
  <c r="CL118" i="7"/>
  <c r="Y114" i="3" s="1"/>
  <c r="Z114" i="3" s="1"/>
  <c r="CV118" i="6" s="1"/>
  <c r="CP8" i="7"/>
  <c r="CP122" i="6"/>
  <c r="CL27" i="7"/>
  <c r="Y23" i="3" s="1"/>
  <c r="Z23" i="3" s="1"/>
  <c r="CV27" i="6" s="1"/>
  <c r="CL57" i="7"/>
  <c r="Y53" i="3" s="1"/>
  <c r="Z53" i="3" s="1"/>
  <c r="CV57" i="6" s="1"/>
  <c r="CL114" i="7"/>
  <c r="Y110" i="3" s="1"/>
  <c r="Z110" i="3" s="1"/>
  <c r="CV114" i="6" s="1"/>
  <c r="CO8" i="7"/>
  <c r="CO122" i="6"/>
  <c r="CL12" i="7"/>
  <c r="Y8" i="3" s="1"/>
  <c r="Z8" i="3" s="1"/>
  <c r="CV12" i="6" s="1"/>
  <c r="CL20" i="7"/>
  <c r="Y16" i="3" s="1"/>
  <c r="Z16" i="3" s="1"/>
  <c r="CV20" i="6" s="1"/>
  <c r="CL34" i="7"/>
  <c r="Y30" i="3" s="1"/>
  <c r="Z30" i="3" s="1"/>
  <c r="CV34" i="6" s="1"/>
  <c r="CL43" i="7"/>
  <c r="Y39" i="3" s="1"/>
  <c r="Z39" i="3" s="1"/>
  <c r="CV43" i="6" s="1"/>
  <c r="CL53" i="7"/>
  <c r="Y49" i="3" s="1"/>
  <c r="Z49" i="3" s="1"/>
  <c r="CV53" i="6" s="1"/>
  <c r="CL64" i="7"/>
  <c r="Y60" i="3" s="1"/>
  <c r="Z60" i="3" s="1"/>
  <c r="CV64" i="6" s="1"/>
  <c r="CL73" i="7"/>
  <c r="Y69" i="3" s="1"/>
  <c r="Z69" i="3" s="1"/>
  <c r="CV73" i="6" s="1"/>
  <c r="CL87" i="7"/>
  <c r="Y83" i="3" s="1"/>
  <c r="Z83" i="3" s="1"/>
  <c r="CV87" i="6" s="1"/>
  <c r="CL98" i="7"/>
  <c r="Y94" i="3" s="1"/>
  <c r="Z94" i="3" s="1"/>
  <c r="CV98" i="6" s="1"/>
  <c r="CL111" i="7"/>
  <c r="Y107" i="3" s="1"/>
  <c r="Z107" i="3" s="1"/>
  <c r="CV111" i="6" s="1"/>
  <c r="CL119" i="7"/>
  <c r="Y115" i="3" s="1"/>
  <c r="Z115" i="3" s="1"/>
  <c r="CV119" i="6" s="1"/>
  <c r="CL37" i="7"/>
  <c r="Y33" i="3" s="1"/>
  <c r="Z33" i="3" s="1"/>
  <c r="CL103" i="7"/>
  <c r="Y99" i="3" s="1"/>
  <c r="Z99" i="3" s="1"/>
  <c r="CV103" i="6" s="1"/>
  <c r="CL13" i="7"/>
  <c r="Y9" i="3" s="1"/>
  <c r="Z9" i="3" s="1"/>
  <c r="CV13" i="6" s="1"/>
  <c r="CL21" i="7"/>
  <c r="Y17" i="3" s="1"/>
  <c r="Z17" i="3" s="1"/>
  <c r="CV21" i="6" s="1"/>
  <c r="CL35" i="7"/>
  <c r="Y31" i="3" s="1"/>
  <c r="Z31" i="3" s="1"/>
  <c r="CL44" i="7"/>
  <c r="Y40" i="3" s="1"/>
  <c r="Z40" i="3" s="1"/>
  <c r="CV44" i="6" s="1"/>
  <c r="CL54" i="7"/>
  <c r="Y50" i="3" s="1"/>
  <c r="Z50" i="3" s="1"/>
  <c r="CV54" i="6" s="1"/>
  <c r="CL65" i="7"/>
  <c r="Y61" i="3" s="1"/>
  <c r="Z61" i="3" s="1"/>
  <c r="CV65" i="6" s="1"/>
  <c r="CL75" i="7"/>
  <c r="Y71" i="3" s="1"/>
  <c r="Z71" i="3" s="1"/>
  <c r="CV75" i="6" s="1"/>
  <c r="CL88" i="7"/>
  <c r="Y84" i="3" s="1"/>
  <c r="Z84" i="3" s="1"/>
  <c r="CV88" i="6" s="1"/>
  <c r="CL99" i="7"/>
  <c r="Y95" i="3" s="1"/>
  <c r="Z95" i="3" s="1"/>
  <c r="CV99" i="6" s="1"/>
  <c r="CL112" i="7"/>
  <c r="Y108" i="3" s="1"/>
  <c r="Z108" i="3" s="1"/>
  <c r="CV112" i="6" s="1"/>
  <c r="CL120" i="7"/>
  <c r="Y116" i="3" s="1"/>
  <c r="Z116" i="3" s="1"/>
  <c r="CV120" i="6" s="1"/>
  <c r="CL14" i="7"/>
  <c r="Y10" i="3" s="1"/>
  <c r="Z10" i="3" s="1"/>
  <c r="CV14" i="6" s="1"/>
  <c r="CL26" i="7"/>
  <c r="Y22" i="3" s="1"/>
  <c r="Z22" i="3" s="1"/>
  <c r="CV26" i="6" s="1"/>
  <c r="CL36" i="7"/>
  <c r="Y32" i="3" s="1"/>
  <c r="Z32" i="3" s="1"/>
  <c r="CV36" i="6" s="1"/>
  <c r="CL45" i="7"/>
  <c r="Y41" i="3" s="1"/>
  <c r="Z41" i="3" s="1"/>
  <c r="CV45" i="6" s="1"/>
  <c r="CL56" i="7"/>
  <c r="Y52" i="3" s="1"/>
  <c r="Z52" i="3" s="1"/>
  <c r="CV56" i="6" s="1"/>
  <c r="CL66" i="7"/>
  <c r="Y62" i="3" s="1"/>
  <c r="Z62" i="3" s="1"/>
  <c r="CV66" i="6" s="1"/>
  <c r="CL77" i="7"/>
  <c r="Y73" i="3" s="1"/>
  <c r="Z73" i="3" s="1"/>
  <c r="CV77" i="6" s="1"/>
  <c r="CL90" i="7"/>
  <c r="Y86" i="3" s="1"/>
  <c r="Z86" i="3" s="1"/>
  <c r="CV90" i="6" s="1"/>
  <c r="CL102" i="7"/>
  <c r="Y98" i="3" s="1"/>
  <c r="Z98" i="3" s="1"/>
  <c r="CV102" i="6" s="1"/>
  <c r="CL113" i="7"/>
  <c r="Y109" i="3" s="1"/>
  <c r="Z109" i="3" s="1"/>
  <c r="CV113" i="6" s="1"/>
  <c r="CL121" i="7"/>
  <c r="Y117" i="3" s="1"/>
  <c r="Z117" i="3" s="1"/>
  <c r="CV121" i="6" s="1"/>
  <c r="U8" i="3"/>
  <c r="U16" i="3"/>
  <c r="V16" i="3" s="1"/>
  <c r="U24" i="3"/>
  <c r="V24" i="3" s="1"/>
  <c r="U32" i="3"/>
  <c r="V32" i="3" s="1"/>
  <c r="U40" i="3"/>
  <c r="U48" i="3"/>
  <c r="U56" i="3"/>
  <c r="V56" i="3" s="1"/>
  <c r="U64" i="3"/>
  <c r="V64" i="3" s="1"/>
  <c r="U72" i="3"/>
  <c r="V72" i="3" s="1"/>
  <c r="U80" i="3"/>
  <c r="U88" i="3"/>
  <c r="U96" i="3"/>
  <c r="V96" i="3" s="1"/>
  <c r="U104" i="3"/>
  <c r="V104" i="3" s="1"/>
  <c r="U112" i="3"/>
  <c r="V112" i="3" s="1"/>
  <c r="U9" i="3"/>
  <c r="V9" i="3" s="1"/>
  <c r="U17" i="3"/>
  <c r="V17" i="3" s="1"/>
  <c r="U25" i="3"/>
  <c r="U33" i="3"/>
  <c r="U41" i="3"/>
  <c r="V41" i="3" s="1"/>
  <c r="U49" i="3"/>
  <c r="U57" i="3"/>
  <c r="V57" i="3" s="1"/>
  <c r="U65" i="3"/>
  <c r="V65" i="3" s="1"/>
  <c r="U73" i="3"/>
  <c r="V73" i="3" s="1"/>
  <c r="U81" i="3"/>
  <c r="V81" i="3" s="1"/>
  <c r="U89" i="3"/>
  <c r="V89" i="3" s="1"/>
  <c r="U97" i="3"/>
  <c r="V97" i="3" s="1"/>
  <c r="U105" i="3"/>
  <c r="V105" i="3" s="1"/>
  <c r="U113" i="3"/>
  <c r="V113" i="3" s="1"/>
  <c r="U2" i="3"/>
  <c r="U10" i="3"/>
  <c r="V10" i="3" s="1"/>
  <c r="U18" i="3"/>
  <c r="V18" i="3" s="1"/>
  <c r="U26" i="3"/>
  <c r="U34" i="3"/>
  <c r="U42" i="3"/>
  <c r="V42" i="3" s="1"/>
  <c r="U50" i="3"/>
  <c r="U58" i="3"/>
  <c r="V58" i="3" s="1"/>
  <c r="U66" i="3"/>
  <c r="V66" i="3" s="1"/>
  <c r="U74" i="3"/>
  <c r="V74" i="3" s="1"/>
  <c r="U82" i="3"/>
  <c r="V82" i="3" s="1"/>
  <c r="U90" i="3"/>
  <c r="V90" i="3" s="1"/>
  <c r="U98" i="3"/>
  <c r="U106" i="3"/>
  <c r="V106" i="3" s="1"/>
  <c r="U114" i="3"/>
  <c r="V114" i="3" s="1"/>
  <c r="U35" i="3"/>
  <c r="V35" i="3" s="1"/>
  <c r="U51" i="3"/>
  <c r="V51" i="3" s="1"/>
  <c r="U91" i="3"/>
  <c r="V91" i="3" s="1"/>
  <c r="U19" i="3"/>
  <c r="V19" i="3" s="1"/>
  <c r="U43" i="3"/>
  <c r="V43" i="3" s="1"/>
  <c r="U99" i="3"/>
  <c r="V99" i="3" s="1"/>
  <c r="U4" i="3"/>
  <c r="U12" i="3"/>
  <c r="V12" i="3" s="1"/>
  <c r="U20" i="3"/>
  <c r="V20" i="3" s="1"/>
  <c r="U28" i="3"/>
  <c r="V28" i="3" s="1"/>
  <c r="U36" i="3"/>
  <c r="V36" i="3" s="1"/>
  <c r="U44" i="3"/>
  <c r="V44" i="3" s="1"/>
  <c r="U52" i="3"/>
  <c r="V52" i="3" s="1"/>
  <c r="U60" i="3"/>
  <c r="V60" i="3" s="1"/>
  <c r="U68" i="3"/>
  <c r="U76" i="3"/>
  <c r="V76" i="3" s="1"/>
  <c r="U84" i="3"/>
  <c r="V84" i="3" s="1"/>
  <c r="U92" i="3"/>
  <c r="U100" i="3"/>
  <c r="V100" i="3" s="1"/>
  <c r="U108" i="3"/>
  <c r="V108" i="3" s="1"/>
  <c r="U116" i="3"/>
  <c r="U3" i="3"/>
  <c r="V3" i="3" s="1"/>
  <c r="U75" i="3"/>
  <c r="V75" i="3" s="1"/>
  <c r="U83" i="3"/>
  <c r="V83" i="3" s="1"/>
  <c r="U5" i="3"/>
  <c r="U13" i="3"/>
  <c r="V13" i="3" s="1"/>
  <c r="U21" i="3"/>
  <c r="V21" i="3" s="1"/>
  <c r="U29" i="3"/>
  <c r="V29" i="3" s="1"/>
  <c r="U37" i="3"/>
  <c r="V37" i="3" s="1"/>
  <c r="U45" i="3"/>
  <c r="U53" i="3"/>
  <c r="V53" i="3" s="1"/>
  <c r="U61" i="3"/>
  <c r="V61" i="3" s="1"/>
  <c r="U69" i="3"/>
  <c r="U77" i="3"/>
  <c r="V77" i="3" s="1"/>
  <c r="U85" i="3"/>
  <c r="V85" i="3" s="1"/>
  <c r="U93" i="3"/>
  <c r="V93" i="3" s="1"/>
  <c r="U101" i="3"/>
  <c r="V101" i="3" s="1"/>
  <c r="U109" i="3"/>
  <c r="V109" i="3" s="1"/>
  <c r="U117" i="3"/>
  <c r="U11" i="3"/>
  <c r="U59" i="3"/>
  <c r="V59" i="3" s="1"/>
  <c r="U107" i="3"/>
  <c r="V107" i="3" s="1"/>
  <c r="U6" i="3"/>
  <c r="U14" i="3"/>
  <c r="V14" i="3" s="1"/>
  <c r="U22" i="3"/>
  <c r="V22" i="3" s="1"/>
  <c r="U30" i="3"/>
  <c r="U38" i="3"/>
  <c r="V38" i="3" s="1"/>
  <c r="U46" i="3"/>
  <c r="V46" i="3" s="1"/>
  <c r="U54" i="3"/>
  <c r="V54" i="3" s="1"/>
  <c r="U62" i="3"/>
  <c r="U70" i="3"/>
  <c r="V70" i="3" s="1"/>
  <c r="U78" i="3"/>
  <c r="V78" i="3" s="1"/>
  <c r="U86" i="3"/>
  <c r="U94" i="3"/>
  <c r="V94" i="3" s="1"/>
  <c r="U102" i="3"/>
  <c r="U110" i="3"/>
  <c r="V110" i="3" s="1"/>
  <c r="U27" i="3"/>
  <c r="U67" i="3"/>
  <c r="V67" i="3" s="1"/>
  <c r="U115" i="3"/>
  <c r="V115" i="3" s="1"/>
  <c r="U7" i="3"/>
  <c r="V7" i="3" s="1"/>
  <c r="U15" i="3"/>
  <c r="U23" i="3"/>
  <c r="U31" i="3"/>
  <c r="U39" i="3"/>
  <c r="U47" i="3"/>
  <c r="V47" i="3" s="1"/>
  <c r="U55" i="3"/>
  <c r="U63" i="3"/>
  <c r="U71" i="3"/>
  <c r="V71" i="3" s="1"/>
  <c r="U79" i="3"/>
  <c r="V79" i="3" s="1"/>
  <c r="U87" i="3"/>
  <c r="U95" i="3"/>
  <c r="V95" i="3" s="1"/>
  <c r="U103" i="3"/>
  <c r="V103" i="3" s="1"/>
  <c r="U111" i="3"/>
  <c r="V111" i="3" s="1"/>
  <c r="H122" i="6"/>
  <c r="CJ7" i="6"/>
  <c r="CJ9" i="6"/>
  <c r="CJ11" i="6"/>
  <c r="CJ13" i="6"/>
  <c r="CJ15" i="6"/>
  <c r="CJ17" i="6"/>
  <c r="CJ19" i="6"/>
  <c r="CJ21" i="6"/>
  <c r="CJ23" i="6"/>
  <c r="CJ25" i="6"/>
  <c r="CJ27" i="6"/>
  <c r="CJ29" i="6"/>
  <c r="CJ31" i="6"/>
  <c r="CJ33" i="6"/>
  <c r="CJ35" i="6"/>
  <c r="CJ37" i="6"/>
  <c r="CJ39" i="6"/>
  <c r="CJ41" i="6"/>
  <c r="CJ43" i="6"/>
  <c r="CJ45" i="6"/>
  <c r="CJ47" i="6"/>
  <c r="CJ49" i="6"/>
  <c r="CJ51" i="6"/>
  <c r="CJ53" i="6"/>
  <c r="CJ55" i="6"/>
  <c r="CJ57" i="6"/>
  <c r="CJ59" i="6"/>
  <c r="CJ61" i="6"/>
  <c r="CJ63" i="6"/>
  <c r="CJ65" i="6"/>
  <c r="CJ67" i="6"/>
  <c r="CJ69" i="6"/>
  <c r="CJ71" i="6"/>
  <c r="CJ73" i="6"/>
  <c r="CJ75" i="6"/>
  <c r="CJ77" i="6"/>
  <c r="CJ79" i="6"/>
  <c r="CJ81" i="6"/>
  <c r="CJ83" i="6"/>
  <c r="CJ85" i="6"/>
  <c r="CJ87" i="6"/>
  <c r="CJ89" i="6"/>
  <c r="CJ91" i="6"/>
  <c r="CJ93" i="6"/>
  <c r="CJ95" i="6"/>
  <c r="CJ97" i="6"/>
  <c r="CJ99" i="6"/>
  <c r="CJ101" i="6"/>
  <c r="CJ103" i="6"/>
  <c r="CJ105" i="6"/>
  <c r="CJ107" i="6"/>
  <c r="CJ109" i="6"/>
  <c r="CJ111" i="6"/>
  <c r="CJ113" i="6"/>
  <c r="CJ115" i="6"/>
  <c r="CJ117" i="6"/>
  <c r="CJ119" i="6"/>
  <c r="CJ121" i="6"/>
  <c r="E122" i="6"/>
  <c r="CJ6" i="6"/>
  <c r="CJ8" i="6"/>
  <c r="CJ10" i="6"/>
  <c r="CJ12" i="6"/>
  <c r="CJ14" i="6"/>
  <c r="CJ16" i="6"/>
  <c r="CJ18" i="6"/>
  <c r="CJ20" i="6"/>
  <c r="CJ22" i="6"/>
  <c r="CJ24" i="6"/>
  <c r="CJ26" i="6"/>
  <c r="CJ28" i="6"/>
  <c r="CJ30" i="6"/>
  <c r="CJ32" i="6"/>
  <c r="CJ34" i="6"/>
  <c r="CJ36" i="6"/>
  <c r="CJ38" i="6"/>
  <c r="CJ40" i="6"/>
  <c r="CJ42" i="6"/>
  <c r="CJ44" i="6"/>
  <c r="CJ46" i="6"/>
  <c r="CJ48" i="6"/>
  <c r="CJ50" i="6"/>
  <c r="CJ52" i="6"/>
  <c r="CJ54" i="6"/>
  <c r="CJ56" i="6"/>
  <c r="CJ58" i="6"/>
  <c r="CJ60" i="6"/>
  <c r="CJ62" i="6"/>
  <c r="CJ64" i="6"/>
  <c r="CJ66" i="6"/>
  <c r="CJ68" i="6"/>
  <c r="CJ70" i="6"/>
  <c r="CJ72" i="6"/>
  <c r="CJ74" i="6"/>
  <c r="CJ76" i="6"/>
  <c r="CJ78" i="6"/>
  <c r="CJ80" i="6"/>
  <c r="CJ82" i="6"/>
  <c r="CJ84" i="6"/>
  <c r="CJ86" i="6"/>
  <c r="CJ88" i="6"/>
  <c r="CJ90" i="6"/>
  <c r="CJ92" i="6"/>
  <c r="CJ94" i="6"/>
  <c r="CJ96" i="6"/>
  <c r="CJ98" i="6"/>
  <c r="CJ100" i="6"/>
  <c r="CJ102" i="6"/>
  <c r="CJ104" i="6"/>
  <c r="CJ106" i="6"/>
  <c r="CJ108" i="6"/>
  <c r="CJ110" i="6"/>
  <c r="CJ112" i="6"/>
  <c r="CJ114" i="6"/>
  <c r="CJ116" i="6"/>
  <c r="CJ118" i="6"/>
  <c r="CJ120" i="6"/>
  <c r="J122" i="6"/>
  <c r="DD6" i="6"/>
  <c r="DD8" i="6"/>
  <c r="DD10" i="6"/>
  <c r="DD12" i="6"/>
  <c r="DE12" i="6" s="1"/>
  <c r="DD14" i="6"/>
  <c r="DD16" i="6"/>
  <c r="DE16" i="6" s="1"/>
  <c r="DD18" i="6"/>
  <c r="DE18" i="6" s="1"/>
  <c r="DD20" i="6"/>
  <c r="DD22" i="6"/>
  <c r="DE8" i="6"/>
  <c r="DD24" i="6"/>
  <c r="DD26" i="6"/>
  <c r="DD28" i="6"/>
  <c r="DD30" i="6"/>
  <c r="DE30" i="6" s="1"/>
  <c r="DD32" i="6"/>
  <c r="DE32" i="6" s="1"/>
  <c r="DD34" i="6"/>
  <c r="DD36" i="6"/>
  <c r="DD38" i="6"/>
  <c r="DD40" i="6"/>
  <c r="DE40" i="6" s="1"/>
  <c r="DD42" i="6"/>
  <c r="DD44" i="6"/>
  <c r="DD46" i="6"/>
  <c r="DE46" i="6" s="1"/>
  <c r="DD48" i="6"/>
  <c r="DD50" i="6"/>
  <c r="DD52" i="6"/>
  <c r="DD54" i="6"/>
  <c r="DD56" i="6"/>
  <c r="DD58" i="6"/>
  <c r="DD60" i="6"/>
  <c r="DD62" i="6"/>
  <c r="DE62" i="6" s="1"/>
  <c r="DD64" i="6"/>
  <c r="DE64" i="6" s="1"/>
  <c r="DD66" i="6"/>
  <c r="DD68" i="6"/>
  <c r="DD70" i="6"/>
  <c r="DD72" i="6"/>
  <c r="DE72" i="6" s="1"/>
  <c r="DD74" i="6"/>
  <c r="CM6" i="6"/>
  <c r="CN6" i="6"/>
  <c r="CN6" i="7" s="1"/>
  <c r="CM62" i="6"/>
  <c r="CM62" i="7" s="1"/>
  <c r="CN62" i="6"/>
  <c r="CN62" i="7" s="1"/>
  <c r="CM94" i="6"/>
  <c r="CN94" i="6"/>
  <c r="CN94" i="7" s="1"/>
  <c r="CN26" i="6"/>
  <c r="CN26" i="7" s="1"/>
  <c r="CM26" i="6"/>
  <c r="CM26" i="7" s="1"/>
  <c r="CM54" i="6"/>
  <c r="CM54" i="7" s="1"/>
  <c r="CN54" i="6"/>
  <c r="CN54" i="7" s="1"/>
  <c r="CN82" i="6"/>
  <c r="CN82" i="7" s="1"/>
  <c r="CM82" i="6"/>
  <c r="CM82" i="7" s="1"/>
  <c r="CM102" i="6"/>
  <c r="CM102" i="7" s="1"/>
  <c r="CN102" i="6"/>
  <c r="CN102" i="7" s="1"/>
  <c r="CM7" i="6"/>
  <c r="CM7" i="7" s="1"/>
  <c r="CN7" i="6"/>
  <c r="CN7" i="7" s="1"/>
  <c r="CM11" i="6"/>
  <c r="CM11" i="7" s="1"/>
  <c r="CN11" i="6"/>
  <c r="CN11" i="7" s="1"/>
  <c r="CM15" i="6"/>
  <c r="CM15" i="7" s="1"/>
  <c r="CN15" i="6"/>
  <c r="CN15" i="7" s="1"/>
  <c r="CM19" i="6"/>
  <c r="CM19" i="7" s="1"/>
  <c r="CN19" i="6"/>
  <c r="CN19" i="7" s="1"/>
  <c r="CM23" i="6"/>
  <c r="CN23" i="6"/>
  <c r="CN23" i="7" s="1"/>
  <c r="CM27" i="6"/>
  <c r="CM27" i="7" s="1"/>
  <c r="CN27" i="6"/>
  <c r="CN27" i="7" s="1"/>
  <c r="CM31" i="6"/>
  <c r="CM31" i="7" s="1"/>
  <c r="CN31" i="6"/>
  <c r="CN31" i="7" s="1"/>
  <c r="CM35" i="6"/>
  <c r="CM35" i="7" s="1"/>
  <c r="CN35" i="6"/>
  <c r="CN35" i="7" s="1"/>
  <c r="CM39" i="6"/>
  <c r="CM39" i="7" s="1"/>
  <c r="CN39" i="6"/>
  <c r="CN39" i="7" s="1"/>
  <c r="CM43" i="6"/>
  <c r="CM43" i="7" s="1"/>
  <c r="CN43" i="6"/>
  <c r="CN43" i="7" s="1"/>
  <c r="CM47" i="6"/>
  <c r="CN47" i="6"/>
  <c r="CN47" i="7" s="1"/>
  <c r="CM51" i="6"/>
  <c r="CM51" i="7" s="1"/>
  <c r="CN51" i="6"/>
  <c r="CN51" i="7" s="1"/>
  <c r="CM55" i="6"/>
  <c r="CN55" i="6"/>
  <c r="CN55" i="7" s="1"/>
  <c r="CM59" i="6"/>
  <c r="CM59" i="7" s="1"/>
  <c r="CN59" i="6"/>
  <c r="CN59" i="7" s="1"/>
  <c r="CM63" i="6"/>
  <c r="CN63" i="6"/>
  <c r="CN63" i="7" s="1"/>
  <c r="CM67" i="6"/>
  <c r="CM67" i="7" s="1"/>
  <c r="CN67" i="6"/>
  <c r="CN67" i="7" s="1"/>
  <c r="CM71" i="6"/>
  <c r="CM71" i="7" s="1"/>
  <c r="CN71" i="6"/>
  <c r="CN71" i="7" s="1"/>
  <c r="CM75" i="6"/>
  <c r="CM75" i="7" s="1"/>
  <c r="CN75" i="6"/>
  <c r="CN75" i="7" s="1"/>
  <c r="CM79" i="6"/>
  <c r="CN79" i="6"/>
  <c r="CN79" i="7" s="1"/>
  <c r="CM83" i="6"/>
  <c r="CN83" i="6"/>
  <c r="CN83" i="7" s="1"/>
  <c r="CM87" i="6"/>
  <c r="CM87" i="7" s="1"/>
  <c r="CN87" i="6"/>
  <c r="CN87" i="7" s="1"/>
  <c r="CM91" i="6"/>
  <c r="CM91" i="7" s="1"/>
  <c r="CN91" i="6"/>
  <c r="CN91" i="7" s="1"/>
  <c r="CM95" i="6"/>
  <c r="CM95" i="7" s="1"/>
  <c r="CN95" i="6"/>
  <c r="CN95" i="7" s="1"/>
  <c r="CM99" i="6"/>
  <c r="CM99" i="7" s="1"/>
  <c r="CN99" i="6"/>
  <c r="CN99" i="7" s="1"/>
  <c r="CM103" i="6"/>
  <c r="CM103" i="7" s="1"/>
  <c r="CN103" i="6"/>
  <c r="CN103" i="7" s="1"/>
  <c r="CM107" i="6"/>
  <c r="CM107" i="7" s="1"/>
  <c r="CN107" i="6"/>
  <c r="CN107" i="7" s="1"/>
  <c r="CM111" i="6"/>
  <c r="CM111" i="7" s="1"/>
  <c r="CN111" i="6"/>
  <c r="CN111" i="7" s="1"/>
  <c r="CM115" i="6"/>
  <c r="CM115" i="7" s="1"/>
  <c r="CN115" i="6"/>
  <c r="CN115" i="7" s="1"/>
  <c r="CM119" i="6"/>
  <c r="CM119" i="7" s="1"/>
  <c r="CN119" i="6"/>
  <c r="CN119" i="7" s="1"/>
  <c r="CM14" i="6"/>
  <c r="CM14" i="7" s="1"/>
  <c r="CN14" i="6"/>
  <c r="CN14" i="7" s="1"/>
  <c r="CN34" i="6"/>
  <c r="CN34" i="7" s="1"/>
  <c r="CM34" i="6"/>
  <c r="CM34" i="7" s="1"/>
  <c r="CN58" i="6"/>
  <c r="CN58" i="7" s="1"/>
  <c r="CM58" i="6"/>
  <c r="CM86" i="6"/>
  <c r="CM86" i="7" s="1"/>
  <c r="CN86" i="6"/>
  <c r="CN86" i="7" s="1"/>
  <c r="CN106" i="6"/>
  <c r="CN106" i="7" s="1"/>
  <c r="CM106" i="6"/>
  <c r="CM106" i="7" s="1"/>
  <c r="DE34" i="6"/>
  <c r="DE38" i="6"/>
  <c r="DE50" i="6"/>
  <c r="CN10" i="6"/>
  <c r="CN10" i="7" s="1"/>
  <c r="CM10" i="6"/>
  <c r="CM10" i="7" s="1"/>
  <c r="CM38" i="6"/>
  <c r="CM38" i="7" s="1"/>
  <c r="CN38" i="6"/>
  <c r="CN38" i="7" s="1"/>
  <c r="CN66" i="6"/>
  <c r="CN66" i="7" s="1"/>
  <c r="CM66" i="6"/>
  <c r="CM66" i="7" s="1"/>
  <c r="CN90" i="6"/>
  <c r="CN90" i="7" s="1"/>
  <c r="CM90" i="6"/>
  <c r="CM90" i="7" s="1"/>
  <c r="CM118" i="6"/>
  <c r="CM118" i="7" s="1"/>
  <c r="CN118" i="6"/>
  <c r="CN118" i="7" s="1"/>
  <c r="DE10" i="6"/>
  <c r="DE54" i="6"/>
  <c r="DE66" i="6"/>
  <c r="DE70" i="6"/>
  <c r="CN8" i="6"/>
  <c r="CN8" i="7" s="1"/>
  <c r="CM8" i="6"/>
  <c r="CM8" i="7" s="1"/>
  <c r="CM12" i="6"/>
  <c r="CM12" i="7" s="1"/>
  <c r="CN12" i="6"/>
  <c r="CN12" i="7" s="1"/>
  <c r="CN16" i="6"/>
  <c r="CN16" i="7" s="1"/>
  <c r="CM16" i="6"/>
  <c r="CM16" i="7" s="1"/>
  <c r="CM20" i="6"/>
  <c r="CM20" i="7" s="1"/>
  <c r="CN20" i="6"/>
  <c r="CN20" i="7" s="1"/>
  <c r="CN24" i="6"/>
  <c r="CN24" i="7" s="1"/>
  <c r="CM24" i="6"/>
  <c r="CM28" i="6"/>
  <c r="CN28" i="6"/>
  <c r="CN28" i="7" s="1"/>
  <c r="CN32" i="6"/>
  <c r="CN32" i="7" s="1"/>
  <c r="CM32" i="6"/>
  <c r="CM32" i="7" s="1"/>
  <c r="CM36" i="6"/>
  <c r="CM36" i="7" s="1"/>
  <c r="CN36" i="6"/>
  <c r="CN36" i="7" s="1"/>
  <c r="CN40" i="6"/>
  <c r="CN40" i="7" s="1"/>
  <c r="CM40" i="6"/>
  <c r="CM44" i="6"/>
  <c r="CM44" i="7" s="1"/>
  <c r="CN44" i="6"/>
  <c r="CN44" i="7" s="1"/>
  <c r="CN48" i="6"/>
  <c r="CN48" i="7" s="1"/>
  <c r="CM48" i="6"/>
  <c r="CM48" i="7" s="1"/>
  <c r="CM52" i="6"/>
  <c r="CM52" i="7" s="1"/>
  <c r="CN52" i="6"/>
  <c r="CN52" i="7" s="1"/>
  <c r="CN56" i="6"/>
  <c r="CN56" i="7" s="1"/>
  <c r="CM56" i="6"/>
  <c r="CM56" i="7" s="1"/>
  <c r="CM60" i="6"/>
  <c r="CM60" i="7" s="1"/>
  <c r="CN60" i="6"/>
  <c r="CN60" i="7" s="1"/>
  <c r="CN64" i="6"/>
  <c r="CN64" i="7" s="1"/>
  <c r="CM64" i="6"/>
  <c r="CM64" i="7" s="1"/>
  <c r="CM68" i="6"/>
  <c r="CN68" i="6"/>
  <c r="CN68" i="7" s="1"/>
  <c r="CN72" i="6"/>
  <c r="CN72" i="7" s="1"/>
  <c r="CM72" i="6"/>
  <c r="CM72" i="7" s="1"/>
  <c r="CM76" i="6"/>
  <c r="CN76" i="6"/>
  <c r="CN76" i="7" s="1"/>
  <c r="CN80" i="6"/>
  <c r="CN80" i="7" s="1"/>
  <c r="CM80" i="6"/>
  <c r="CM80" i="7" s="1"/>
  <c r="CM84" i="6"/>
  <c r="CM84" i="7" s="1"/>
  <c r="CN84" i="6"/>
  <c r="CN84" i="7" s="1"/>
  <c r="CN88" i="6"/>
  <c r="CN88" i="7" s="1"/>
  <c r="CM88" i="6"/>
  <c r="CM88" i="7" s="1"/>
  <c r="CM92" i="6"/>
  <c r="CM92" i="7" s="1"/>
  <c r="CN92" i="6"/>
  <c r="CN92" i="7" s="1"/>
  <c r="CN96" i="6"/>
  <c r="CN96" i="7" s="1"/>
  <c r="CM96" i="6"/>
  <c r="CM96" i="7" s="1"/>
  <c r="CM100" i="6"/>
  <c r="CN100" i="6"/>
  <c r="CN100" i="7" s="1"/>
  <c r="CN104" i="6"/>
  <c r="CN104" i="7" s="1"/>
  <c r="CM104" i="6"/>
  <c r="CM108" i="6"/>
  <c r="CN108" i="6"/>
  <c r="CN108" i="7" s="1"/>
  <c r="CN112" i="6"/>
  <c r="CN112" i="7" s="1"/>
  <c r="CM112" i="6"/>
  <c r="CM112" i="7" s="1"/>
  <c r="CM116" i="6"/>
  <c r="CM116" i="7" s="1"/>
  <c r="CN116" i="6"/>
  <c r="CN116" i="7" s="1"/>
  <c r="CN120" i="6"/>
  <c r="CN120" i="7" s="1"/>
  <c r="CM120" i="6"/>
  <c r="CM120" i="7" s="1"/>
  <c r="CM30" i="6"/>
  <c r="CM30" i="7" s="1"/>
  <c r="CN30" i="6"/>
  <c r="CN30" i="7" s="1"/>
  <c r="CN50" i="6"/>
  <c r="CN50" i="7" s="1"/>
  <c r="CM50" i="6"/>
  <c r="CM50" i="7" s="1"/>
  <c r="CM78" i="6"/>
  <c r="CM78" i="7" s="1"/>
  <c r="CN78" i="6"/>
  <c r="CN78" i="7" s="1"/>
  <c r="CN98" i="6"/>
  <c r="CN98" i="7" s="1"/>
  <c r="CM98" i="6"/>
  <c r="CM98" i="7" s="1"/>
  <c r="CN18" i="6"/>
  <c r="CN18" i="7" s="1"/>
  <c r="CM18" i="6"/>
  <c r="CM18" i="7" s="1"/>
  <c r="CM46" i="6"/>
  <c r="CN46" i="6"/>
  <c r="CN46" i="7" s="1"/>
  <c r="CN74" i="6"/>
  <c r="CN74" i="7" s="1"/>
  <c r="CM74" i="6"/>
  <c r="CN114" i="6"/>
  <c r="CN114" i="7" s="1"/>
  <c r="CM114" i="6"/>
  <c r="CM114" i="7" s="1"/>
  <c r="DE6" i="6"/>
  <c r="CN9" i="6"/>
  <c r="CN9" i="7" s="1"/>
  <c r="CM9" i="6"/>
  <c r="CM9" i="7" s="1"/>
  <c r="CM13" i="6"/>
  <c r="CM13" i="7" s="1"/>
  <c r="CN13" i="6"/>
  <c r="CN13" i="7" s="1"/>
  <c r="CN17" i="6"/>
  <c r="CN17" i="7" s="1"/>
  <c r="CM17" i="6"/>
  <c r="CM17" i="7" s="1"/>
  <c r="CM21" i="6"/>
  <c r="CM21" i="7" s="1"/>
  <c r="CN21" i="6"/>
  <c r="CN21" i="7" s="1"/>
  <c r="CN25" i="6"/>
  <c r="CN25" i="7" s="1"/>
  <c r="CM25" i="6"/>
  <c r="CM29" i="6"/>
  <c r="CM29" i="7" s="1"/>
  <c r="CN29" i="6"/>
  <c r="CN29" i="7" s="1"/>
  <c r="CN33" i="6"/>
  <c r="CN33" i="7" s="1"/>
  <c r="CM33" i="6"/>
  <c r="CM37" i="6"/>
  <c r="CM37" i="7" s="1"/>
  <c r="CN37" i="6"/>
  <c r="CN37" i="7" s="1"/>
  <c r="CN41" i="6"/>
  <c r="CN41" i="7" s="1"/>
  <c r="CM41" i="6"/>
  <c r="CM41" i="7" s="1"/>
  <c r="CM45" i="6"/>
  <c r="CM45" i="7" s="1"/>
  <c r="CN45" i="6"/>
  <c r="CN45" i="7" s="1"/>
  <c r="CN49" i="6"/>
  <c r="CN49" i="7" s="1"/>
  <c r="CM49" i="6"/>
  <c r="CM49" i="7" s="1"/>
  <c r="CM53" i="6"/>
  <c r="CM53" i="7" s="1"/>
  <c r="CN53" i="6"/>
  <c r="CN53" i="7" s="1"/>
  <c r="CN57" i="6"/>
  <c r="CN57" i="7" s="1"/>
  <c r="CM57" i="6"/>
  <c r="CM57" i="7" s="1"/>
  <c r="CM61" i="6"/>
  <c r="CM61" i="7" s="1"/>
  <c r="CN61" i="6"/>
  <c r="CN61" i="7" s="1"/>
  <c r="CN65" i="6"/>
  <c r="CN65" i="7" s="1"/>
  <c r="CM65" i="6"/>
  <c r="CM65" i="7" s="1"/>
  <c r="CM69" i="6"/>
  <c r="CM69" i="7" s="1"/>
  <c r="CN69" i="6"/>
  <c r="CN69" i="7" s="1"/>
  <c r="CN73" i="6"/>
  <c r="CN73" i="7" s="1"/>
  <c r="CM73" i="6"/>
  <c r="CM73" i="7" s="1"/>
  <c r="CM77" i="6"/>
  <c r="CM77" i="7" s="1"/>
  <c r="CN77" i="6"/>
  <c r="CN77" i="7" s="1"/>
  <c r="CN81" i="6"/>
  <c r="CN81" i="7" s="1"/>
  <c r="CM81" i="6"/>
  <c r="CM85" i="6"/>
  <c r="CN85" i="6"/>
  <c r="CN85" i="7" s="1"/>
  <c r="CN89" i="6"/>
  <c r="CN89" i="7" s="1"/>
  <c r="CM89" i="6"/>
  <c r="CM93" i="6"/>
  <c r="CN93" i="6"/>
  <c r="CN93" i="7" s="1"/>
  <c r="CN97" i="6"/>
  <c r="CN97" i="7" s="1"/>
  <c r="CM97" i="6"/>
  <c r="CM97" i="7" s="1"/>
  <c r="CM101" i="6"/>
  <c r="CN101" i="6"/>
  <c r="CN101" i="7" s="1"/>
  <c r="CN105" i="6"/>
  <c r="CN105" i="7" s="1"/>
  <c r="CM105" i="6"/>
  <c r="CM105" i="7" s="1"/>
  <c r="CM109" i="6"/>
  <c r="CN109" i="6"/>
  <c r="CN109" i="7" s="1"/>
  <c r="CN113" i="6"/>
  <c r="CN113" i="7" s="1"/>
  <c r="CM113" i="6"/>
  <c r="CM113" i="7" s="1"/>
  <c r="CM117" i="6"/>
  <c r="CM117" i="7" s="1"/>
  <c r="CN117" i="6"/>
  <c r="CN117" i="7" s="1"/>
  <c r="CN121" i="6"/>
  <c r="CN121" i="7" s="1"/>
  <c r="CM121" i="6"/>
  <c r="CM121" i="7" s="1"/>
  <c r="CM22" i="6"/>
  <c r="CN22" i="6"/>
  <c r="CN22" i="7" s="1"/>
  <c r="CN42" i="6"/>
  <c r="CN42" i="7" s="1"/>
  <c r="CM42" i="6"/>
  <c r="CM42" i="7" s="1"/>
  <c r="CM70" i="6"/>
  <c r="CM70" i="7" s="1"/>
  <c r="CN70" i="6"/>
  <c r="CN70" i="7" s="1"/>
  <c r="CM110" i="6"/>
  <c r="CM110" i="7" s="1"/>
  <c r="CN110" i="6"/>
  <c r="CN110" i="7" s="1"/>
  <c r="DE14" i="6"/>
  <c r="DE22" i="6"/>
  <c r="DD7" i="6"/>
  <c r="DD9" i="6"/>
  <c r="DD76" i="6"/>
  <c r="DD78" i="6"/>
  <c r="DD80" i="6"/>
  <c r="DD82" i="6"/>
  <c r="DD84" i="6"/>
  <c r="DD86" i="6"/>
  <c r="DD88" i="6"/>
  <c r="DD90" i="6"/>
  <c r="DD92" i="6"/>
  <c r="DD94" i="6"/>
  <c r="DD96" i="6"/>
  <c r="DD98" i="6"/>
  <c r="DD100" i="6"/>
  <c r="DD102" i="6"/>
  <c r="DD104" i="6"/>
  <c r="DD106" i="6"/>
  <c r="DD108" i="6"/>
  <c r="DE108" i="6" s="1"/>
  <c r="DD110" i="6"/>
  <c r="DD112" i="6"/>
  <c r="DD114" i="6"/>
  <c r="DD116" i="6"/>
  <c r="DD118" i="6"/>
  <c r="DD120" i="6"/>
  <c r="DE120" i="6" s="1"/>
  <c r="DD11" i="6"/>
  <c r="DD13" i="6"/>
  <c r="DD15" i="6"/>
  <c r="DD17" i="6"/>
  <c r="DD19" i="6"/>
  <c r="DD21" i="6"/>
  <c r="DD23" i="6"/>
  <c r="DD25" i="6"/>
  <c r="DD27" i="6"/>
  <c r="DD29" i="6"/>
  <c r="DD31" i="6"/>
  <c r="DD33" i="6"/>
  <c r="DE33" i="6" s="1"/>
  <c r="DD35" i="6"/>
  <c r="DE35" i="6" s="1"/>
  <c r="DD37" i="6"/>
  <c r="DD39" i="6"/>
  <c r="DD41" i="6"/>
  <c r="DD43" i="6"/>
  <c r="DD45" i="6"/>
  <c r="DD47" i="6"/>
  <c r="DD49" i="6"/>
  <c r="DD51" i="6"/>
  <c r="DD53" i="6"/>
  <c r="DD55" i="6"/>
  <c r="DD57" i="6"/>
  <c r="DD59" i="6"/>
  <c r="DD61" i="6"/>
  <c r="DD63" i="6"/>
  <c r="DD65" i="6"/>
  <c r="DE65" i="6" s="1"/>
  <c r="DD67" i="6"/>
  <c r="DE67" i="6" s="1"/>
  <c r="DD69" i="6"/>
  <c r="DD71" i="6"/>
  <c r="DD73" i="6"/>
  <c r="DD75" i="6"/>
  <c r="DD77" i="6"/>
  <c r="DD79" i="6"/>
  <c r="DD81" i="6"/>
  <c r="DD83" i="6"/>
  <c r="DD85" i="6"/>
  <c r="DD87" i="6"/>
  <c r="DD89" i="6"/>
  <c r="DD91" i="6"/>
  <c r="DD93" i="6"/>
  <c r="DD95" i="6"/>
  <c r="DD97" i="6"/>
  <c r="DE97" i="6" s="1"/>
  <c r="DD99" i="6"/>
  <c r="DE99" i="6" s="1"/>
  <c r="DD101" i="6"/>
  <c r="DD103" i="6"/>
  <c r="DD105" i="6"/>
  <c r="DD107" i="6"/>
  <c r="DD109" i="6"/>
  <c r="DD111" i="6"/>
  <c r="DD113" i="6"/>
  <c r="DD115" i="6"/>
  <c r="DD117" i="6"/>
  <c r="DD119" i="6"/>
  <c r="DD121" i="6"/>
  <c r="CG10" i="1"/>
  <c r="CG66" i="1"/>
  <c r="CG74" i="1"/>
  <c r="CG90" i="1"/>
  <c r="CG59" i="1"/>
  <c r="CG91" i="1"/>
  <c r="CG92" i="1"/>
  <c r="CG100" i="1"/>
  <c r="CG37" i="1"/>
  <c r="CG93" i="1"/>
  <c r="CG102" i="1"/>
  <c r="CD122" i="6"/>
  <c r="CE122" i="6"/>
  <c r="CF122" i="6"/>
  <c r="CC122" i="6"/>
  <c r="BK122" i="6"/>
  <c r="BS122" i="6"/>
  <c r="CA122" i="6"/>
  <c r="DF124" i="6" s="1"/>
  <c r="CB122" i="6"/>
  <c r="BL122" i="6"/>
  <c r="BT122" i="6"/>
  <c r="BM122" i="6"/>
  <c r="BU122" i="6"/>
  <c r="BN122" i="6"/>
  <c r="BV122" i="6"/>
  <c r="BR122" i="6"/>
  <c r="BO122" i="6"/>
  <c r="BW122" i="6"/>
  <c r="BX122" i="6"/>
  <c r="BP122" i="6"/>
  <c r="BY122" i="6"/>
  <c r="BQ122" i="6"/>
  <c r="BZ122" i="6"/>
  <c r="BE122" i="6"/>
  <c r="BI122" i="6"/>
  <c r="BF122" i="6"/>
  <c r="BG122" i="6"/>
  <c r="BJ122" i="6"/>
  <c r="AX122" i="6"/>
  <c r="BH122" i="6"/>
  <c r="AV122" i="6"/>
  <c r="BD122" i="6"/>
  <c r="AW122" i="6"/>
  <c r="AY122" i="6"/>
  <c r="AZ122" i="6"/>
  <c r="BA122" i="6"/>
  <c r="BB122" i="6"/>
  <c r="BC122" i="6"/>
  <c r="F122" i="5"/>
  <c r="R122" i="6"/>
  <c r="AO122" i="6"/>
  <c r="AI122" i="6"/>
  <c r="AR122" i="6"/>
  <c r="AJ122" i="6"/>
  <c r="AS122" i="6"/>
  <c r="AK122" i="6"/>
  <c r="AT122" i="6"/>
  <c r="AL122" i="6"/>
  <c r="AU122" i="6"/>
  <c r="AN122" i="6"/>
  <c r="AP122" i="6"/>
  <c r="AH122" i="6"/>
  <c r="AQ122" i="6"/>
  <c r="AM122" i="6"/>
  <c r="AC122" i="6"/>
  <c r="K122" i="6"/>
  <c r="S122" i="6"/>
  <c r="Z122" i="6"/>
  <c r="N122" i="6"/>
  <c r="W122" i="6"/>
  <c r="P122" i="6"/>
  <c r="AD122" i="6"/>
  <c r="L122" i="6"/>
  <c r="M122" i="6"/>
  <c r="AA122" i="6"/>
  <c r="U122" i="6"/>
  <c r="V122" i="6"/>
  <c r="O122" i="6"/>
  <c r="AB122" i="6"/>
  <c r="Q122" i="6"/>
  <c r="AE122" i="6"/>
  <c r="X122" i="6"/>
  <c r="AF122" i="6"/>
  <c r="Y122" i="6"/>
  <c r="AG122" i="6"/>
  <c r="T122" i="6"/>
  <c r="AA122" i="5"/>
  <c r="Z122" i="5"/>
  <c r="AI122" i="5"/>
  <c r="AP122" i="5"/>
  <c r="BC122" i="5"/>
  <c r="CW122" i="5"/>
  <c r="DF122" i="5"/>
  <c r="DJ122" i="5"/>
  <c r="CP122" i="5"/>
  <c r="AB122" i="5"/>
  <c r="AH122" i="5"/>
  <c r="AO122" i="5"/>
  <c r="BO122" i="5"/>
  <c r="BW122" i="5"/>
  <c r="AK122" i="5"/>
  <c r="AQ122" i="5"/>
  <c r="BH122" i="5"/>
  <c r="DK122" i="5"/>
  <c r="J122" i="5"/>
  <c r="CK122" i="5"/>
  <c r="CV122" i="5"/>
  <c r="AL122" i="5"/>
  <c r="DB122" i="5"/>
  <c r="BD122" i="5"/>
  <c r="DI122" i="5"/>
  <c r="DN122" i="5"/>
  <c r="K122" i="5"/>
  <c r="P122" i="5"/>
  <c r="CL122" i="5"/>
  <c r="CI122" i="5"/>
  <c r="DC122" i="5"/>
  <c r="M122" i="5"/>
  <c r="Q122" i="5"/>
  <c r="N122" i="5"/>
  <c r="Y122" i="5"/>
  <c r="CM122" i="5"/>
  <c r="CJ122" i="5"/>
  <c r="I122" i="5"/>
  <c r="R122" i="5"/>
  <c r="O122" i="5"/>
  <c r="AF122" i="5"/>
  <c r="S122" i="5"/>
  <c r="AG122" i="5"/>
  <c r="BJ122" i="5"/>
  <c r="BN122" i="5"/>
  <c r="BV122" i="5"/>
  <c r="DG122" i="5"/>
  <c r="AE122" i="5"/>
  <c r="AT122" i="5"/>
  <c r="DV122" i="5"/>
  <c r="DU122" i="5"/>
  <c r="AS122" i="5"/>
  <c r="AD122" i="1"/>
  <c r="B20" i="2"/>
  <c r="B18" i="2"/>
  <c r="B17" i="2"/>
  <c r="B19" i="2"/>
  <c r="B15" i="2"/>
  <c r="DB43" i="6" l="1"/>
  <c r="CV37" i="6"/>
  <c r="DB37" i="6" s="1"/>
  <c r="Z3" i="3"/>
  <c r="Y118" i="3"/>
  <c r="V2" i="3"/>
  <c r="V118" i="3" s="1"/>
  <c r="U118" i="3"/>
  <c r="DB90" i="6"/>
  <c r="DB35" i="6"/>
  <c r="DF35" i="6" s="1"/>
  <c r="CV35" i="6"/>
  <c r="CM22" i="7"/>
  <c r="CM109" i="7"/>
  <c r="CM93" i="7"/>
  <c r="DE103" i="6"/>
  <c r="DE71" i="6"/>
  <c r="DE39" i="6"/>
  <c r="DE7" i="6"/>
  <c r="CM108" i="7"/>
  <c r="CM76" i="7"/>
  <c r="CM28" i="7"/>
  <c r="DE90" i="6"/>
  <c r="CM6" i="7"/>
  <c r="DE76" i="6"/>
  <c r="DE44" i="6"/>
  <c r="DE101" i="6"/>
  <c r="DE69" i="6"/>
  <c r="DE37" i="6"/>
  <c r="DB106" i="6"/>
  <c r="DB92" i="6"/>
  <c r="DB49" i="6"/>
  <c r="DB8" i="6"/>
  <c r="DF8" i="6" s="1"/>
  <c r="CM40" i="7"/>
  <c r="DE116" i="6"/>
  <c r="DE95" i="6"/>
  <c r="DE63" i="6"/>
  <c r="DE31" i="6"/>
  <c r="DE58" i="6"/>
  <c r="DE118" i="6"/>
  <c r="CM55" i="7"/>
  <c r="CM23" i="7"/>
  <c r="DE68" i="6"/>
  <c r="DE36" i="6"/>
  <c r="DE93" i="6"/>
  <c r="DE61" i="6"/>
  <c r="DE29" i="6"/>
  <c r="DB96" i="6"/>
  <c r="DB10" i="6"/>
  <c r="DF10" i="6" s="1"/>
  <c r="DB95" i="6"/>
  <c r="DB9" i="6"/>
  <c r="DB80" i="6"/>
  <c r="DB38" i="6"/>
  <c r="DF38" i="6" s="1"/>
  <c r="DB91" i="6"/>
  <c r="DE86" i="6"/>
  <c r="DE112" i="6"/>
  <c r="DE91" i="6"/>
  <c r="DE59" i="6"/>
  <c r="DE27" i="6"/>
  <c r="DE98" i="6"/>
  <c r="DE114" i="6"/>
  <c r="CM58" i="7"/>
  <c r="DE96" i="6"/>
  <c r="DE121" i="6"/>
  <c r="DE89" i="6"/>
  <c r="DE57" i="6"/>
  <c r="DE25" i="6"/>
  <c r="DB121" i="6"/>
  <c r="DB73" i="6"/>
  <c r="DB34" i="6"/>
  <c r="DF34" i="6" s="1"/>
  <c r="DB72" i="6"/>
  <c r="DF72" i="6" s="1"/>
  <c r="CM25" i="7"/>
  <c r="CM24" i="7"/>
  <c r="DB120" i="6"/>
  <c r="DF120" i="6" s="1"/>
  <c r="CM101" i="7"/>
  <c r="CM85" i="7"/>
  <c r="DE119" i="6"/>
  <c r="DE87" i="6"/>
  <c r="DE55" i="6"/>
  <c r="DE23" i="6"/>
  <c r="CM100" i="7"/>
  <c r="CM68" i="7"/>
  <c r="DE82" i="6"/>
  <c r="DE42" i="6"/>
  <c r="DE110" i="6"/>
  <c r="CM83" i="7"/>
  <c r="CM94" i="7"/>
  <c r="DE92" i="6"/>
  <c r="DE60" i="6"/>
  <c r="DE28" i="6"/>
  <c r="DE117" i="6"/>
  <c r="DE85" i="6"/>
  <c r="DE53" i="6"/>
  <c r="DE21" i="6"/>
  <c r="DB84" i="6"/>
  <c r="DB67" i="6"/>
  <c r="DF67" i="6" s="1"/>
  <c r="DB39" i="6"/>
  <c r="DB115" i="6"/>
  <c r="DB29" i="6"/>
  <c r="CM46" i="7"/>
  <c r="DE104" i="6"/>
  <c r="CM81" i="7"/>
  <c r="CM33" i="7"/>
  <c r="DE115" i="6"/>
  <c r="DE83" i="6"/>
  <c r="DE51" i="6"/>
  <c r="DE19" i="6"/>
  <c r="DE78" i="6"/>
  <c r="DE106" i="6"/>
  <c r="DE88" i="6"/>
  <c r="DE56" i="6"/>
  <c r="DE24" i="6"/>
  <c r="DE113" i="6"/>
  <c r="DE81" i="6"/>
  <c r="DE49" i="6"/>
  <c r="DE17" i="6"/>
  <c r="DB66" i="6"/>
  <c r="DF66" i="6" s="1"/>
  <c r="DB26" i="6"/>
  <c r="DB54" i="6"/>
  <c r="DF54" i="6" s="1"/>
  <c r="DB64" i="6"/>
  <c r="DF64" i="6" s="1"/>
  <c r="DB20" i="6"/>
  <c r="DB19" i="6"/>
  <c r="CM89" i="7"/>
  <c r="DB89" i="6"/>
  <c r="DE100" i="6"/>
  <c r="CM74" i="7"/>
  <c r="DE111" i="6"/>
  <c r="DE79" i="6"/>
  <c r="DE47" i="6"/>
  <c r="DE15" i="6"/>
  <c r="DE74" i="6"/>
  <c r="DE26" i="6"/>
  <c r="DE102" i="6"/>
  <c r="CM79" i="7"/>
  <c r="CM63" i="7"/>
  <c r="CM47" i="7"/>
  <c r="DE84" i="6"/>
  <c r="DE52" i="6"/>
  <c r="DE20" i="6"/>
  <c r="DE109" i="6"/>
  <c r="DE77" i="6"/>
  <c r="DE45" i="6"/>
  <c r="DE13" i="6"/>
  <c r="DB31" i="6"/>
  <c r="DB30" i="6"/>
  <c r="DF30" i="6" s="1"/>
  <c r="DB59" i="6"/>
  <c r="DB15" i="6"/>
  <c r="CM104" i="7"/>
  <c r="DE107" i="6"/>
  <c r="DE75" i="6"/>
  <c r="DE43" i="6"/>
  <c r="DE11" i="6"/>
  <c r="DE94" i="6"/>
  <c r="DE80" i="6"/>
  <c r="DE48" i="6"/>
  <c r="DE105" i="6"/>
  <c r="DE73" i="6"/>
  <c r="DE41" i="6"/>
  <c r="DE9" i="6"/>
  <c r="DB102" i="6"/>
  <c r="DB44" i="6"/>
  <c r="DB53" i="6"/>
  <c r="DB12" i="6"/>
  <c r="DF12" i="6" s="1"/>
  <c r="DB27" i="6"/>
  <c r="DB52" i="6"/>
  <c r="CN122" i="7"/>
  <c r="CS83" i="6"/>
  <c r="CS83" i="7" s="1"/>
  <c r="CS105" i="6"/>
  <c r="CS105" i="7" s="1"/>
  <c r="CS41" i="6"/>
  <c r="CS41" i="7" s="1"/>
  <c r="CS56" i="6"/>
  <c r="CS56" i="7" s="1"/>
  <c r="CS47" i="6"/>
  <c r="CS47" i="7" s="1"/>
  <c r="CS94" i="6"/>
  <c r="CS94" i="7" s="1"/>
  <c r="CS85" i="6"/>
  <c r="CS85" i="7" s="1"/>
  <c r="CS21" i="6"/>
  <c r="CS21" i="7" s="1"/>
  <c r="CS68" i="6"/>
  <c r="CS68" i="7" s="1"/>
  <c r="CS75" i="6"/>
  <c r="CS75" i="7" s="1"/>
  <c r="CS11" i="6"/>
  <c r="CS11" i="7" s="1"/>
  <c r="CS82" i="6"/>
  <c r="CS82" i="7" s="1"/>
  <c r="CS18" i="6"/>
  <c r="CS18" i="7" s="1"/>
  <c r="CS97" i="6"/>
  <c r="CS97" i="7" s="1"/>
  <c r="CS33" i="6"/>
  <c r="CS33" i="7" s="1"/>
  <c r="CS112" i="6"/>
  <c r="CS112" i="7" s="1"/>
  <c r="CS48" i="6"/>
  <c r="CS48" i="7" s="1"/>
  <c r="CS23" i="6"/>
  <c r="CS23" i="7" s="1"/>
  <c r="CS86" i="6"/>
  <c r="CS86" i="7" s="1"/>
  <c r="CS22" i="6"/>
  <c r="CS22" i="7" s="1"/>
  <c r="CS77" i="6"/>
  <c r="CS77" i="7" s="1"/>
  <c r="CS13" i="6"/>
  <c r="CS13" i="7" s="1"/>
  <c r="CS60" i="6"/>
  <c r="CS60" i="7" s="1"/>
  <c r="CS119" i="6"/>
  <c r="CS119" i="7" s="1"/>
  <c r="CS74" i="6"/>
  <c r="CS74" i="7" s="1"/>
  <c r="CS25" i="6"/>
  <c r="CS25" i="7" s="1"/>
  <c r="CS104" i="6"/>
  <c r="CS104" i="7" s="1"/>
  <c r="CS40" i="6"/>
  <c r="CS40" i="7" s="1"/>
  <c r="CS78" i="6"/>
  <c r="CS78" i="7" s="1"/>
  <c r="CS14" i="6"/>
  <c r="CS14" i="7" s="1"/>
  <c r="CS69" i="6"/>
  <c r="CS69" i="7" s="1"/>
  <c r="CS116" i="6"/>
  <c r="CS116" i="7" s="1"/>
  <c r="CS71" i="6"/>
  <c r="CS71" i="7" s="1"/>
  <c r="CS111" i="6"/>
  <c r="CS111" i="7" s="1"/>
  <c r="CS81" i="6"/>
  <c r="CS81" i="7" s="1"/>
  <c r="CS17" i="6"/>
  <c r="CS17" i="7" s="1"/>
  <c r="CS32" i="6"/>
  <c r="CS32" i="7" s="1"/>
  <c r="CS55" i="6"/>
  <c r="CS55" i="7" s="1"/>
  <c r="CS70" i="6"/>
  <c r="CS70" i="7" s="1"/>
  <c r="CS6" i="6"/>
  <c r="CS61" i="6"/>
  <c r="CS61" i="7" s="1"/>
  <c r="CS108" i="6"/>
  <c r="CS108" i="7" s="1"/>
  <c r="CS51" i="6"/>
  <c r="CS51" i="7" s="1"/>
  <c r="CS58" i="6"/>
  <c r="CS58" i="7" s="1"/>
  <c r="CS63" i="6"/>
  <c r="CS63" i="7" s="1"/>
  <c r="CS88" i="6"/>
  <c r="CS88" i="7" s="1"/>
  <c r="CS24" i="6"/>
  <c r="CS24" i="7" s="1"/>
  <c r="CS62" i="6"/>
  <c r="CS62" i="7" s="1"/>
  <c r="CS117" i="6"/>
  <c r="CS117" i="7" s="1"/>
  <c r="CS100" i="6"/>
  <c r="CS100" i="7" s="1"/>
  <c r="CS36" i="6"/>
  <c r="CS36" i="7" s="1"/>
  <c r="CS107" i="6"/>
  <c r="CS107" i="7" s="1"/>
  <c r="CS114" i="6"/>
  <c r="CS114" i="7" s="1"/>
  <c r="CS50" i="6"/>
  <c r="CS50" i="7" s="1"/>
  <c r="CS65" i="6"/>
  <c r="CS65" i="7" s="1"/>
  <c r="CS87" i="6"/>
  <c r="CS87" i="7" s="1"/>
  <c r="CS16" i="6"/>
  <c r="CS16" i="7" s="1"/>
  <c r="CS109" i="6"/>
  <c r="CS109" i="7" s="1"/>
  <c r="CS45" i="6"/>
  <c r="CS45" i="7" s="1"/>
  <c r="CS28" i="6"/>
  <c r="CS28" i="7" s="1"/>
  <c r="CS99" i="6"/>
  <c r="CS99" i="7" s="1"/>
  <c r="CS42" i="6"/>
  <c r="CS42" i="7" s="1"/>
  <c r="CS57" i="6"/>
  <c r="CS57" i="7" s="1"/>
  <c r="CS79" i="6"/>
  <c r="CS79" i="7" s="1"/>
  <c r="CS110" i="6"/>
  <c r="CS110" i="7" s="1"/>
  <c r="CS46" i="6"/>
  <c r="CS46" i="7" s="1"/>
  <c r="CS101" i="6"/>
  <c r="CS101" i="7" s="1"/>
  <c r="CS98" i="6"/>
  <c r="CS98" i="7" s="1"/>
  <c r="CS113" i="6"/>
  <c r="CS113" i="7" s="1"/>
  <c r="CS7" i="6"/>
  <c r="CS7" i="7" s="1"/>
  <c r="CS103" i="6"/>
  <c r="CS103" i="7" s="1"/>
  <c r="CS93" i="6"/>
  <c r="CS93" i="7" s="1"/>
  <c r="CS76" i="6"/>
  <c r="CS76" i="7" s="1"/>
  <c r="CQ60" i="6"/>
  <c r="CQ60" i="7" s="1"/>
  <c r="CR60" i="6"/>
  <c r="CR60" i="7" s="1"/>
  <c r="CQ105" i="6"/>
  <c r="CQ105" i="7" s="1"/>
  <c r="CR105" i="6"/>
  <c r="CR105" i="7" s="1"/>
  <c r="CQ85" i="6"/>
  <c r="CQ85" i="7" s="1"/>
  <c r="CR85" i="6"/>
  <c r="CR85" i="7" s="1"/>
  <c r="CR11" i="6"/>
  <c r="CR11" i="7" s="1"/>
  <c r="CQ11" i="6"/>
  <c r="CQ11" i="7" s="1"/>
  <c r="CR112" i="6"/>
  <c r="CR112" i="7" s="1"/>
  <c r="CQ112" i="6"/>
  <c r="CQ112" i="7" s="1"/>
  <c r="CR13" i="6"/>
  <c r="CR13" i="7" s="1"/>
  <c r="CQ13" i="6"/>
  <c r="CQ13" i="7" s="1"/>
  <c r="CQ119" i="6"/>
  <c r="CQ119" i="7" s="1"/>
  <c r="CR119" i="6"/>
  <c r="CR119" i="7" s="1"/>
  <c r="CQ74" i="6"/>
  <c r="CQ74" i="7" s="1"/>
  <c r="CR74" i="6"/>
  <c r="CR74" i="7" s="1"/>
  <c r="CR25" i="6"/>
  <c r="CR25" i="7" s="1"/>
  <c r="CQ25" i="6"/>
  <c r="CQ25" i="7" s="1"/>
  <c r="CQ104" i="6"/>
  <c r="CQ104" i="7" s="1"/>
  <c r="CR104" i="6"/>
  <c r="CR104" i="7" s="1"/>
  <c r="CR40" i="6"/>
  <c r="CR40" i="7" s="1"/>
  <c r="CQ40" i="6"/>
  <c r="CQ40" i="7" s="1"/>
  <c r="CR78" i="6"/>
  <c r="CR78" i="7" s="1"/>
  <c r="CQ78" i="6"/>
  <c r="CQ14" i="6"/>
  <c r="CQ14" i="7" s="1"/>
  <c r="CR14" i="6"/>
  <c r="CR14" i="7" s="1"/>
  <c r="CR69" i="6"/>
  <c r="CR69" i="7" s="1"/>
  <c r="CQ69" i="6"/>
  <c r="CQ69" i="7" s="1"/>
  <c r="CQ116" i="6"/>
  <c r="CQ116" i="7" s="1"/>
  <c r="CR116" i="6"/>
  <c r="CR116" i="7" s="1"/>
  <c r="CR41" i="6"/>
  <c r="CR41" i="7" s="1"/>
  <c r="CQ41" i="6"/>
  <c r="CQ41" i="7" s="1"/>
  <c r="CR21" i="6"/>
  <c r="CR21" i="7" s="1"/>
  <c r="CQ21" i="6"/>
  <c r="CQ21" i="7" s="1"/>
  <c r="CQ82" i="6"/>
  <c r="CQ82" i="7" s="1"/>
  <c r="CR82" i="6"/>
  <c r="CR82" i="7" s="1"/>
  <c r="CQ33" i="6"/>
  <c r="CQ33" i="7" s="1"/>
  <c r="CR33" i="6"/>
  <c r="CR33" i="7" s="1"/>
  <c r="CR77" i="6"/>
  <c r="CR77" i="7" s="1"/>
  <c r="CQ77" i="6"/>
  <c r="CQ77" i="7" s="1"/>
  <c r="CQ71" i="6"/>
  <c r="CQ71" i="7" s="1"/>
  <c r="CR71" i="6"/>
  <c r="CR71" i="7" s="1"/>
  <c r="CR111" i="6"/>
  <c r="CR111" i="7" s="1"/>
  <c r="CQ111" i="6"/>
  <c r="CQ111" i="7" s="1"/>
  <c r="CQ81" i="6"/>
  <c r="CQ81" i="7" s="1"/>
  <c r="CR81" i="6"/>
  <c r="CR81" i="7" s="1"/>
  <c r="CR17" i="6"/>
  <c r="CR17" i="7" s="1"/>
  <c r="CQ17" i="6"/>
  <c r="CQ17" i="7" s="1"/>
  <c r="CR32" i="6"/>
  <c r="CR32" i="7" s="1"/>
  <c r="CQ32" i="6"/>
  <c r="CQ32" i="7" s="1"/>
  <c r="CR55" i="6"/>
  <c r="CR55" i="7" s="1"/>
  <c r="CQ55" i="6"/>
  <c r="CQ55" i="7" s="1"/>
  <c r="CQ70" i="6"/>
  <c r="CQ70" i="7" s="1"/>
  <c r="CR70" i="6"/>
  <c r="CR70" i="7" s="1"/>
  <c r="CQ6" i="6"/>
  <c r="CR6" i="6"/>
  <c r="CQ61" i="6"/>
  <c r="CQ61" i="7" s="1"/>
  <c r="CR61" i="6"/>
  <c r="CR61" i="7" s="1"/>
  <c r="CQ108" i="6"/>
  <c r="CQ108" i="7" s="1"/>
  <c r="CR108" i="6"/>
  <c r="CR108" i="7" s="1"/>
  <c r="CR56" i="6"/>
  <c r="CR56" i="7" s="1"/>
  <c r="CQ56" i="6"/>
  <c r="CQ56" i="7" s="1"/>
  <c r="CR75" i="6"/>
  <c r="CR75" i="7" s="1"/>
  <c r="CQ75" i="6"/>
  <c r="CR18" i="6"/>
  <c r="CR18" i="7" s="1"/>
  <c r="CQ18" i="6"/>
  <c r="CQ18" i="7" s="1"/>
  <c r="CR22" i="6"/>
  <c r="CR22" i="7" s="1"/>
  <c r="CQ22" i="6"/>
  <c r="CQ22" i="7" s="1"/>
  <c r="CQ51" i="6"/>
  <c r="CQ51" i="7" s="1"/>
  <c r="CR51" i="6"/>
  <c r="CR51" i="7" s="1"/>
  <c r="CQ58" i="6"/>
  <c r="CQ58" i="7" s="1"/>
  <c r="CR58" i="6"/>
  <c r="CR58" i="7" s="1"/>
  <c r="CQ63" i="6"/>
  <c r="CQ63" i="7" s="1"/>
  <c r="CR63" i="6"/>
  <c r="CR63" i="7" s="1"/>
  <c r="CR88" i="6"/>
  <c r="CR88" i="7" s="1"/>
  <c r="CQ88" i="6"/>
  <c r="CQ88" i="7" s="1"/>
  <c r="CR24" i="6"/>
  <c r="CR24" i="7" s="1"/>
  <c r="CQ24" i="6"/>
  <c r="CQ24" i="7" s="1"/>
  <c r="CQ62" i="6"/>
  <c r="CQ62" i="7" s="1"/>
  <c r="CR62" i="6"/>
  <c r="CR62" i="7" s="1"/>
  <c r="CQ117" i="6"/>
  <c r="CQ117" i="7" s="1"/>
  <c r="CR117" i="6"/>
  <c r="CR117" i="7" s="1"/>
  <c r="CQ100" i="6"/>
  <c r="CQ100" i="7" s="1"/>
  <c r="CR100" i="6"/>
  <c r="CR100" i="7" s="1"/>
  <c r="CQ36" i="6"/>
  <c r="CQ36" i="7" s="1"/>
  <c r="CR36" i="6"/>
  <c r="CR36" i="7" s="1"/>
  <c r="CQ94" i="6"/>
  <c r="CQ94" i="7" s="1"/>
  <c r="CR94" i="6"/>
  <c r="CR94" i="7" s="1"/>
  <c r="CR23" i="6"/>
  <c r="CR23" i="7" s="1"/>
  <c r="CQ23" i="6"/>
  <c r="CQ23" i="7" s="1"/>
  <c r="CQ107" i="6"/>
  <c r="CQ107" i="7" s="1"/>
  <c r="CR107" i="6"/>
  <c r="CR107" i="7" s="1"/>
  <c r="CQ114" i="6"/>
  <c r="CQ114" i="7" s="1"/>
  <c r="CR114" i="6"/>
  <c r="CR114" i="7" s="1"/>
  <c r="CR50" i="6"/>
  <c r="CR50" i="7" s="1"/>
  <c r="CQ50" i="6"/>
  <c r="CQ50" i="7" s="1"/>
  <c r="CR65" i="6"/>
  <c r="CR65" i="7" s="1"/>
  <c r="CQ65" i="6"/>
  <c r="CQ65" i="7" s="1"/>
  <c r="CR87" i="6"/>
  <c r="CR87" i="7" s="1"/>
  <c r="CQ87" i="6"/>
  <c r="CQ87" i="7" s="1"/>
  <c r="CR16" i="6"/>
  <c r="CR16" i="7" s="1"/>
  <c r="CQ16" i="6"/>
  <c r="CQ16" i="7" s="1"/>
  <c r="CR118" i="6"/>
  <c r="CR118" i="7" s="1"/>
  <c r="CQ118" i="6"/>
  <c r="CQ118" i="7" s="1"/>
  <c r="CQ109" i="6"/>
  <c r="CQ109" i="7" s="1"/>
  <c r="CR109" i="6"/>
  <c r="CR109" i="7" s="1"/>
  <c r="CQ45" i="6"/>
  <c r="CR45" i="6"/>
  <c r="CR45" i="7" s="1"/>
  <c r="CR28" i="6"/>
  <c r="CR28" i="7" s="1"/>
  <c r="CQ28" i="6"/>
  <c r="CQ28" i="7" s="1"/>
  <c r="CQ83" i="6"/>
  <c r="CQ83" i="7" s="1"/>
  <c r="CR83" i="6"/>
  <c r="CR83" i="7" s="1"/>
  <c r="CR68" i="6"/>
  <c r="CR68" i="7" s="1"/>
  <c r="CQ68" i="6"/>
  <c r="CQ68" i="7" s="1"/>
  <c r="CQ97" i="6"/>
  <c r="CQ97" i="7" s="1"/>
  <c r="CR97" i="6"/>
  <c r="CR97" i="7" s="1"/>
  <c r="CQ86" i="6"/>
  <c r="CQ86" i="7" s="1"/>
  <c r="CR86" i="6"/>
  <c r="CR86" i="7" s="1"/>
  <c r="CR99" i="6"/>
  <c r="CR99" i="7" s="1"/>
  <c r="CQ99" i="6"/>
  <c r="CQ99" i="7" s="1"/>
  <c r="CR42" i="6"/>
  <c r="CR42" i="7" s="1"/>
  <c r="CQ42" i="6"/>
  <c r="CQ57" i="6"/>
  <c r="CQ57" i="7" s="1"/>
  <c r="CR57" i="6"/>
  <c r="CR57" i="7" s="1"/>
  <c r="CQ79" i="6"/>
  <c r="CQ79" i="7" s="1"/>
  <c r="CR79" i="6"/>
  <c r="CR79" i="7" s="1"/>
  <c r="CQ110" i="6"/>
  <c r="CQ110" i="7" s="1"/>
  <c r="CR110" i="6"/>
  <c r="CR110" i="7" s="1"/>
  <c r="CQ46" i="6"/>
  <c r="CQ46" i="7" s="1"/>
  <c r="CR46" i="6"/>
  <c r="CR46" i="7" s="1"/>
  <c r="CR101" i="6"/>
  <c r="CR101" i="7" s="1"/>
  <c r="CQ101" i="6"/>
  <c r="CQ101" i="7" s="1"/>
  <c r="CQ47" i="6"/>
  <c r="CQ47" i="7" s="1"/>
  <c r="CR47" i="6"/>
  <c r="CR47" i="7" s="1"/>
  <c r="CQ48" i="6"/>
  <c r="CQ48" i="7" s="1"/>
  <c r="CR48" i="6"/>
  <c r="CR48" i="7" s="1"/>
  <c r="CQ98" i="6"/>
  <c r="CQ98" i="7" s="1"/>
  <c r="CR98" i="6"/>
  <c r="CR98" i="7" s="1"/>
  <c r="CR113" i="6"/>
  <c r="CR113" i="7" s="1"/>
  <c r="CQ113" i="6"/>
  <c r="CQ113" i="7" s="1"/>
  <c r="CR7" i="6"/>
  <c r="CR7" i="7" s="1"/>
  <c r="CQ7" i="6"/>
  <c r="CQ7" i="7" s="1"/>
  <c r="CR103" i="6"/>
  <c r="CR103" i="7" s="1"/>
  <c r="CQ103" i="6"/>
  <c r="CQ103" i="7" s="1"/>
  <c r="CR93" i="6"/>
  <c r="CR93" i="7" s="1"/>
  <c r="CQ93" i="6"/>
  <c r="CQ93" i="7" s="1"/>
  <c r="CQ76" i="6"/>
  <c r="CQ76" i="7" s="1"/>
  <c r="CR76" i="6"/>
  <c r="CR76" i="7" s="1"/>
  <c r="DD122" i="6"/>
  <c r="DC122" i="6"/>
  <c r="CN122" i="6"/>
  <c r="CM122" i="6"/>
  <c r="AS126" i="5"/>
  <c r="DV124" i="5"/>
  <c r="DF43" i="6" l="1"/>
  <c r="DF89" i="6"/>
  <c r="DF90" i="6"/>
  <c r="DF37" i="6"/>
  <c r="CV7" i="6"/>
  <c r="CV122" i="6" s="1"/>
  <c r="Z118" i="3"/>
  <c r="DF91" i="6"/>
  <c r="DF106" i="6"/>
  <c r="DF52" i="6"/>
  <c r="DF49" i="6"/>
  <c r="DF92" i="6"/>
  <c r="DF96" i="6"/>
  <c r="DF53" i="6"/>
  <c r="DF20" i="6"/>
  <c r="DF84" i="6"/>
  <c r="DF15" i="6"/>
  <c r="DF115" i="6"/>
  <c r="DF73" i="6"/>
  <c r="DB74" i="6"/>
  <c r="DF74" i="6" s="1"/>
  <c r="DB65" i="6"/>
  <c r="DF65" i="6" s="1"/>
  <c r="DF31" i="6"/>
  <c r="DB28" i="6"/>
  <c r="DF28" i="6" s="1"/>
  <c r="DF102" i="6"/>
  <c r="DF26" i="6"/>
  <c r="DB33" i="6"/>
  <c r="DF33" i="6" s="1"/>
  <c r="CM122" i="7"/>
  <c r="DF27" i="6"/>
  <c r="DF95" i="6"/>
  <c r="DF80" i="6"/>
  <c r="DF59" i="6"/>
  <c r="DB50" i="6"/>
  <c r="DF50" i="6" s="1"/>
  <c r="DB94" i="6"/>
  <c r="DF94" i="6" s="1"/>
  <c r="DF44" i="6"/>
  <c r="DB116" i="6"/>
  <c r="DF116" i="6" s="1"/>
  <c r="DF121" i="6"/>
  <c r="DF39" i="6"/>
  <c r="DF19" i="6"/>
  <c r="DB110" i="6"/>
  <c r="DF110" i="6" s="1"/>
  <c r="DF29" i="6"/>
  <c r="DE122" i="6"/>
  <c r="DF9" i="6"/>
  <c r="DB32" i="6"/>
  <c r="DF32" i="6" s="1"/>
  <c r="CQ45" i="7"/>
  <c r="DB45" i="6"/>
  <c r="DF45" i="6" s="1"/>
  <c r="DB97" i="6"/>
  <c r="DF97" i="6" s="1"/>
  <c r="DB14" i="6"/>
  <c r="DF14" i="6" s="1"/>
  <c r="DB57" i="6"/>
  <c r="DF57" i="6" s="1"/>
  <c r="DB69" i="6"/>
  <c r="DF69" i="6" s="1"/>
  <c r="DB100" i="6"/>
  <c r="DF100" i="6" s="1"/>
  <c r="DB101" i="6"/>
  <c r="DF101" i="6" s="1"/>
  <c r="DB112" i="6"/>
  <c r="DF112" i="6" s="1"/>
  <c r="DB104" i="6"/>
  <c r="DF104" i="6" s="1"/>
  <c r="CQ42" i="7"/>
  <c r="DB42" i="6"/>
  <c r="DF42" i="6" s="1"/>
  <c r="DB56" i="6"/>
  <c r="DF56" i="6" s="1"/>
  <c r="DB71" i="6"/>
  <c r="DF71" i="6" s="1"/>
  <c r="DB113" i="6"/>
  <c r="DF113" i="6" s="1"/>
  <c r="DB81" i="6"/>
  <c r="DF81" i="6" s="1"/>
  <c r="DB83" i="6"/>
  <c r="DF83" i="6" s="1"/>
  <c r="DB118" i="6"/>
  <c r="DF118" i="6" s="1"/>
  <c r="DB36" i="6"/>
  <c r="DF36" i="6" s="1"/>
  <c r="DB58" i="6"/>
  <c r="DF58" i="6" s="1"/>
  <c r="DB23" i="6"/>
  <c r="DF23" i="6" s="1"/>
  <c r="DB17" i="6"/>
  <c r="DF17" i="6" s="1"/>
  <c r="DB76" i="6"/>
  <c r="DF76" i="6" s="1"/>
  <c r="DB93" i="6"/>
  <c r="DF93" i="6" s="1"/>
  <c r="DB16" i="6"/>
  <c r="DF16" i="6" s="1"/>
  <c r="DB117" i="6"/>
  <c r="DF117" i="6" s="1"/>
  <c r="DB47" i="6"/>
  <c r="DF47" i="6" s="1"/>
  <c r="DB114" i="6"/>
  <c r="DF114" i="6" s="1"/>
  <c r="DB77" i="6"/>
  <c r="DF77" i="6" s="1"/>
  <c r="DB51" i="6"/>
  <c r="DF51" i="6" s="1"/>
  <c r="DB60" i="6"/>
  <c r="DF60" i="6" s="1"/>
  <c r="DB88" i="6"/>
  <c r="DF88" i="6" s="1"/>
  <c r="CQ75" i="7"/>
  <c r="DB75" i="6"/>
  <c r="DF75" i="6" s="1"/>
  <c r="CR6" i="7"/>
  <c r="CR122" i="6"/>
  <c r="CQ78" i="7"/>
  <c r="DB78" i="6"/>
  <c r="DF78" i="6" s="1"/>
  <c r="DB111" i="6"/>
  <c r="DF111" i="6" s="1"/>
  <c r="DB82" i="6"/>
  <c r="DF82" i="6" s="1"/>
  <c r="DB24" i="6"/>
  <c r="DF24" i="6" s="1"/>
  <c r="DB55" i="6"/>
  <c r="DF55" i="6" s="1"/>
  <c r="DB87" i="6"/>
  <c r="DF87" i="6" s="1"/>
  <c r="DB108" i="6"/>
  <c r="DF108" i="6" s="1"/>
  <c r="DB109" i="6"/>
  <c r="DF109" i="6" s="1"/>
  <c r="CQ6" i="7"/>
  <c r="CQ122" i="6"/>
  <c r="CS6" i="7"/>
  <c r="CS122" i="6"/>
  <c r="DB98" i="6"/>
  <c r="DF98" i="6" s="1"/>
  <c r="DB105" i="6"/>
  <c r="DF105" i="6" s="1"/>
  <c r="DB63" i="6"/>
  <c r="DF63" i="6" s="1"/>
  <c r="DB13" i="6"/>
  <c r="DF13" i="6" s="1"/>
  <c r="DB46" i="6"/>
  <c r="DF46" i="6" s="1"/>
  <c r="DB40" i="6"/>
  <c r="DF40" i="6" s="1"/>
  <c r="DB18" i="6"/>
  <c r="DF18" i="6" s="1"/>
  <c r="DB6" i="6"/>
  <c r="DF6" i="6" s="1"/>
  <c r="DB103" i="6"/>
  <c r="DF103" i="6" s="1"/>
  <c r="DB41" i="6"/>
  <c r="DF41" i="6" s="1"/>
  <c r="DB25" i="6"/>
  <c r="DF25" i="6" s="1"/>
  <c r="DB119" i="6"/>
  <c r="DF119" i="6" s="1"/>
  <c r="DB61" i="6"/>
  <c r="DF61" i="6" s="1"/>
  <c r="DB22" i="6"/>
  <c r="DF22" i="6" s="1"/>
  <c r="DB11" i="6"/>
  <c r="DF11" i="6" s="1"/>
  <c r="DB86" i="6"/>
  <c r="DF86" i="6" s="1"/>
  <c r="DB70" i="6"/>
  <c r="DF70" i="6" s="1"/>
  <c r="DB79" i="6"/>
  <c r="DF79" i="6" s="1"/>
  <c r="DB62" i="6"/>
  <c r="DF62" i="6" s="1"/>
  <c r="DB99" i="6"/>
  <c r="DF99" i="6" s="1"/>
  <c r="DB48" i="6"/>
  <c r="DF48" i="6" s="1"/>
  <c r="DB68" i="6"/>
  <c r="DF68" i="6" s="1"/>
  <c r="DB85" i="6"/>
  <c r="DF85" i="6" s="1"/>
  <c r="DB21" i="6"/>
  <c r="DF21" i="6" s="1"/>
  <c r="DB107" i="6"/>
  <c r="DF107" i="6" s="1"/>
  <c r="AS6" i="1"/>
  <c r="CG6" i="1" s="1"/>
  <c r="AT6" i="1"/>
  <c r="DU6" i="1"/>
  <c r="DV6" i="1"/>
  <c r="AS7" i="1"/>
  <c r="CG7" i="1" s="1"/>
  <c r="AT7" i="1"/>
  <c r="DU7" i="1"/>
  <c r="DV7" i="1"/>
  <c r="CN8" i="1"/>
  <c r="CN8" i="5" s="1"/>
  <c r="DH8" i="1"/>
  <c r="DU8" i="1"/>
  <c r="DV8" i="1"/>
  <c r="CN9" i="1"/>
  <c r="CN9" i="5" s="1"/>
  <c r="DH9" i="1"/>
  <c r="DU9" i="1"/>
  <c r="DV9" i="1"/>
  <c r="DU10" i="1"/>
  <c r="DV10" i="1"/>
  <c r="AS11" i="1"/>
  <c r="CG11" i="1" s="1"/>
  <c r="AT11" i="1"/>
  <c r="DU11" i="1"/>
  <c r="DV11" i="1"/>
  <c r="DH12" i="1"/>
  <c r="DU12" i="1"/>
  <c r="DV12" i="1"/>
  <c r="AS13" i="1"/>
  <c r="AT13" i="1"/>
  <c r="DU13" i="1"/>
  <c r="DV13" i="1"/>
  <c r="AS14" i="1"/>
  <c r="AT14" i="1"/>
  <c r="DU14" i="1"/>
  <c r="DV14" i="1"/>
  <c r="DH15" i="1"/>
  <c r="DU15" i="1"/>
  <c r="DV15" i="1"/>
  <c r="AS16" i="1"/>
  <c r="CG16" i="1" s="1"/>
  <c r="AT16" i="1"/>
  <c r="DU16" i="1"/>
  <c r="DV16" i="1"/>
  <c r="DU17" i="1"/>
  <c r="DV17" i="1"/>
  <c r="CO18" i="1"/>
  <c r="AS18" i="1"/>
  <c r="CG18" i="1" s="1"/>
  <c r="AT18" i="1"/>
  <c r="DU18" i="1"/>
  <c r="DV18" i="1"/>
  <c r="DU19" i="1"/>
  <c r="DV19" i="1"/>
  <c r="CO20" i="1"/>
  <c r="AS20" i="1"/>
  <c r="AT20" i="1"/>
  <c r="DU20" i="1"/>
  <c r="DV20" i="1"/>
  <c r="DU21" i="1"/>
  <c r="DV21" i="1"/>
  <c r="AS22" i="1"/>
  <c r="CG22" i="1" s="1"/>
  <c r="AT22" i="1"/>
  <c r="DU22" i="1"/>
  <c r="DV22" i="1"/>
  <c r="AT23" i="1"/>
  <c r="CG23" i="1" s="1"/>
  <c r="DU23" i="1"/>
  <c r="DV23" i="1"/>
  <c r="AS24" i="1"/>
  <c r="CG24" i="1" s="1"/>
  <c r="AT24" i="1"/>
  <c r="DU24" i="1"/>
  <c r="DV24" i="1"/>
  <c r="T25" i="1"/>
  <c r="CG25" i="1" s="1"/>
  <c r="AS25" i="1"/>
  <c r="AT25" i="1"/>
  <c r="DU25" i="1"/>
  <c r="DV25" i="1"/>
  <c r="DU26" i="1"/>
  <c r="DV26" i="1"/>
  <c r="DH27" i="1"/>
  <c r="DU27" i="1"/>
  <c r="DV27" i="1"/>
  <c r="CO28" i="1"/>
  <c r="AS28" i="1"/>
  <c r="AT28" i="1"/>
  <c r="DU28" i="1"/>
  <c r="DV28" i="1"/>
  <c r="DH29" i="1"/>
  <c r="DU29" i="1"/>
  <c r="DV29" i="1"/>
  <c r="DH30" i="1"/>
  <c r="DU30" i="1"/>
  <c r="DV30" i="1"/>
  <c r="DU31" i="1"/>
  <c r="DV31" i="1"/>
  <c r="DU32" i="1"/>
  <c r="DV32" i="1"/>
  <c r="AS33" i="1"/>
  <c r="CG33" i="1" s="1"/>
  <c r="AT33" i="1"/>
  <c r="DU33" i="1"/>
  <c r="DV33" i="1"/>
  <c r="DH34" i="1"/>
  <c r="DU34" i="1"/>
  <c r="DV34" i="1"/>
  <c r="DH35" i="1"/>
  <c r="DU35" i="1"/>
  <c r="DV35" i="1"/>
  <c r="DU36" i="1"/>
  <c r="DV36" i="1"/>
  <c r="CR37" i="1"/>
  <c r="DU37" i="1"/>
  <c r="DV37" i="1"/>
  <c r="DH38" i="1"/>
  <c r="DU38" i="1"/>
  <c r="DV38" i="1"/>
  <c r="AS39" i="1"/>
  <c r="AT39" i="1"/>
  <c r="DU39" i="1"/>
  <c r="DV39" i="1"/>
  <c r="AS40" i="1"/>
  <c r="CG40" i="1" s="1"/>
  <c r="AT40" i="1"/>
  <c r="DU40" i="1"/>
  <c r="DV40" i="1"/>
  <c r="AS41" i="1"/>
  <c r="AT41" i="1"/>
  <c r="DU41" i="1"/>
  <c r="DV41" i="1"/>
  <c r="CO42" i="1"/>
  <c r="DU42" i="1"/>
  <c r="DV42" i="1"/>
  <c r="DU43" i="1"/>
  <c r="DV43" i="1"/>
  <c r="AS44" i="1"/>
  <c r="CG44" i="1" s="1"/>
  <c r="AT44" i="1"/>
  <c r="DU44" i="1"/>
  <c r="DV44" i="1"/>
  <c r="DU45" i="1"/>
  <c r="DV45" i="1"/>
  <c r="AS46" i="1"/>
  <c r="AT46" i="1"/>
  <c r="DU46" i="1"/>
  <c r="DV46" i="1"/>
  <c r="AS47" i="1"/>
  <c r="AT47" i="1"/>
  <c r="DU47" i="1"/>
  <c r="DV47" i="1"/>
  <c r="DU48" i="1"/>
  <c r="DV48" i="1"/>
  <c r="DU49" i="1"/>
  <c r="DV49" i="1"/>
  <c r="AS50" i="1"/>
  <c r="CG50" i="1" s="1"/>
  <c r="AT50" i="1"/>
  <c r="DU50" i="1"/>
  <c r="DV50" i="1"/>
  <c r="CO51" i="1"/>
  <c r="DU51" i="1"/>
  <c r="DV51" i="1"/>
  <c r="AS52" i="1"/>
  <c r="AT52" i="1"/>
  <c r="DU52" i="1"/>
  <c r="DV52" i="1"/>
  <c r="DU53" i="1"/>
  <c r="DV53" i="1"/>
  <c r="DU54" i="1"/>
  <c r="DV54" i="1"/>
  <c r="CO55" i="1"/>
  <c r="AS55" i="1"/>
  <c r="AT55" i="1"/>
  <c r="DU55" i="1"/>
  <c r="DV55" i="1"/>
  <c r="DU56" i="1"/>
  <c r="DV56" i="1"/>
  <c r="AS57" i="1"/>
  <c r="CG57" i="1" s="1"/>
  <c r="AT57" i="1"/>
  <c r="DU57" i="1"/>
  <c r="DV57" i="1"/>
  <c r="AS58" i="1"/>
  <c r="AT58" i="1"/>
  <c r="DU58" i="1"/>
  <c r="DV58" i="1"/>
  <c r="DU59" i="1"/>
  <c r="DV59" i="1"/>
  <c r="CO60" i="1"/>
  <c r="DU60" i="1"/>
  <c r="DV60" i="1"/>
  <c r="AS61" i="1"/>
  <c r="AT61" i="1"/>
  <c r="DU61" i="1"/>
  <c r="DV61" i="1"/>
  <c r="AS62" i="1"/>
  <c r="AT62" i="1"/>
  <c r="DU62" i="1"/>
  <c r="DV62" i="1"/>
  <c r="AS63" i="1"/>
  <c r="AT63" i="1"/>
  <c r="DU63" i="1"/>
  <c r="DV63" i="1"/>
  <c r="AS64" i="1"/>
  <c r="AT64" i="1"/>
  <c r="DU64" i="1"/>
  <c r="DV64" i="1"/>
  <c r="DU65" i="1"/>
  <c r="DV65" i="1"/>
  <c r="DH66" i="1"/>
  <c r="DU66" i="1"/>
  <c r="DV66" i="1"/>
  <c r="DU67" i="1"/>
  <c r="DV67" i="1"/>
  <c r="AS68" i="1"/>
  <c r="AT68" i="1"/>
  <c r="DU68" i="1"/>
  <c r="DV68" i="1"/>
  <c r="DU69" i="1"/>
  <c r="DV69" i="1"/>
  <c r="AS70" i="1"/>
  <c r="AT70" i="1"/>
  <c r="DU70" i="1"/>
  <c r="DV70" i="1"/>
  <c r="DU71" i="1"/>
  <c r="DV71" i="1"/>
  <c r="DU72" i="1"/>
  <c r="DV72" i="1"/>
  <c r="DH73" i="1"/>
  <c r="DU73" i="1"/>
  <c r="DV73" i="1"/>
  <c r="DU74" i="1"/>
  <c r="DV74" i="1"/>
  <c r="CO75" i="1"/>
  <c r="CO75" i="5" s="1"/>
  <c r="AS75" i="1"/>
  <c r="CG75" i="1" s="1"/>
  <c r="AT75" i="1"/>
  <c r="DU75" i="1"/>
  <c r="DV75" i="1"/>
  <c r="AS76" i="1"/>
  <c r="AT76" i="1"/>
  <c r="DU76" i="1"/>
  <c r="DV76" i="1"/>
  <c r="DU77" i="1"/>
  <c r="DV77" i="1"/>
  <c r="CO78" i="1"/>
  <c r="DU78" i="1"/>
  <c r="DV78" i="1"/>
  <c r="AS79" i="1"/>
  <c r="AT79" i="1"/>
  <c r="DU79" i="1"/>
  <c r="DV79" i="1"/>
  <c r="CO80" i="1"/>
  <c r="DU80" i="1"/>
  <c r="DV80" i="1"/>
  <c r="CO81" i="1"/>
  <c r="AS81" i="1"/>
  <c r="AT81" i="1"/>
  <c r="DU81" i="1"/>
  <c r="DV81" i="1"/>
  <c r="AS82" i="1"/>
  <c r="AT82" i="1"/>
  <c r="DU82" i="1"/>
  <c r="DV82" i="1"/>
  <c r="H83" i="1"/>
  <c r="CG83" i="1" s="1"/>
  <c r="DU83" i="1"/>
  <c r="DV83" i="1"/>
  <c r="DH84" i="1"/>
  <c r="DU84" i="1"/>
  <c r="DV84" i="1"/>
  <c r="CO85" i="1"/>
  <c r="CO85" i="5" s="1"/>
  <c r="AS85" i="1"/>
  <c r="AT85" i="1"/>
  <c r="DU85" i="1"/>
  <c r="DV85" i="1"/>
  <c r="AS86" i="1"/>
  <c r="CG86" i="1" s="1"/>
  <c r="AT86" i="1"/>
  <c r="DU86" i="1"/>
  <c r="DV86" i="1"/>
  <c r="AS87" i="1"/>
  <c r="AT87" i="1"/>
  <c r="DU87" i="1"/>
  <c r="DV87" i="1"/>
  <c r="CO88" i="1"/>
  <c r="AS88" i="1"/>
  <c r="AT88" i="1"/>
  <c r="DU88" i="1"/>
  <c r="DV88" i="1"/>
  <c r="AS89" i="1"/>
  <c r="AT89" i="1"/>
  <c r="DU89" i="1"/>
  <c r="DV89" i="1"/>
  <c r="DH90" i="1"/>
  <c r="DU90" i="1"/>
  <c r="DV90" i="1"/>
  <c r="DH91" i="1"/>
  <c r="DU91" i="1"/>
  <c r="DV91" i="1"/>
  <c r="DU92" i="1"/>
  <c r="DV92" i="1"/>
  <c r="CO93" i="1"/>
  <c r="CO93" i="5" s="1"/>
  <c r="DU93" i="1"/>
  <c r="DV93" i="1"/>
  <c r="AS94" i="1"/>
  <c r="AT94" i="1"/>
  <c r="DU94" i="1"/>
  <c r="DV94" i="1"/>
  <c r="DU95" i="1"/>
  <c r="DV95" i="1"/>
  <c r="DH96" i="1"/>
  <c r="DU96" i="1"/>
  <c r="DV96" i="1"/>
  <c r="DU97" i="1"/>
  <c r="DV97" i="1"/>
  <c r="CO98" i="1"/>
  <c r="AS98" i="1"/>
  <c r="CG98" i="1" s="1"/>
  <c r="AT98" i="1"/>
  <c r="DU98" i="1"/>
  <c r="DV98" i="1"/>
  <c r="CO99" i="1"/>
  <c r="DU99" i="1"/>
  <c r="DV99" i="1"/>
  <c r="DU100" i="1"/>
  <c r="DV100" i="1"/>
  <c r="AS101" i="1"/>
  <c r="AT101" i="1"/>
  <c r="DU101" i="1"/>
  <c r="DV101" i="1"/>
  <c r="DU102" i="1"/>
  <c r="DV102" i="1"/>
  <c r="AS103" i="1"/>
  <c r="AT103" i="1"/>
  <c r="DU103" i="1"/>
  <c r="DV103" i="1"/>
  <c r="AS104" i="1"/>
  <c r="CG104" i="1" s="1"/>
  <c r="AT104" i="1"/>
  <c r="DU104" i="1"/>
  <c r="DV104" i="1"/>
  <c r="DU105" i="1"/>
  <c r="DV105" i="1"/>
  <c r="DU106" i="1"/>
  <c r="DV106" i="1"/>
  <c r="AS107" i="1"/>
  <c r="CG107" i="1" s="1"/>
  <c r="AT107" i="1"/>
  <c r="DU107" i="1"/>
  <c r="DV107" i="1"/>
  <c r="AS108" i="1"/>
  <c r="AT108" i="1"/>
  <c r="DU108" i="1"/>
  <c r="DV108" i="1"/>
  <c r="AS109" i="1"/>
  <c r="CG109" i="1" s="1"/>
  <c r="AT109" i="1"/>
  <c r="DU109" i="1"/>
  <c r="DV109" i="1"/>
  <c r="AS110" i="1"/>
  <c r="AT110" i="1"/>
  <c r="DU110" i="1"/>
  <c r="DV110" i="1"/>
  <c r="DU111" i="1"/>
  <c r="DV111" i="1"/>
  <c r="CO112" i="1"/>
  <c r="AS112" i="1"/>
  <c r="AT112" i="1"/>
  <c r="DU112" i="1"/>
  <c r="DV112" i="1"/>
  <c r="AS113" i="1"/>
  <c r="AT113" i="1"/>
  <c r="DU113" i="1"/>
  <c r="DV113" i="1"/>
  <c r="DU114" i="1"/>
  <c r="DV114" i="1"/>
  <c r="AS115" i="1"/>
  <c r="CG115" i="1" s="1"/>
  <c r="AT115" i="1"/>
  <c r="DU115" i="1"/>
  <c r="DV115" i="1"/>
  <c r="H116" i="1"/>
  <c r="CG116" i="1" s="1"/>
  <c r="DU116" i="1"/>
  <c r="DV116" i="1"/>
  <c r="AS117" i="1"/>
  <c r="AT117" i="1"/>
  <c r="DU117" i="1"/>
  <c r="DV117" i="1"/>
  <c r="CO118" i="1"/>
  <c r="CO118" i="5" s="1"/>
  <c r="AS118" i="1"/>
  <c r="AT118" i="1"/>
  <c r="DU118" i="1"/>
  <c r="DV118" i="1"/>
  <c r="AS119" i="1"/>
  <c r="CG119" i="1" s="1"/>
  <c r="AT119" i="1"/>
  <c r="DU119" i="1"/>
  <c r="DV119" i="1"/>
  <c r="DH120" i="1"/>
  <c r="DU120" i="1"/>
  <c r="DV120" i="1"/>
  <c r="DH121" i="1"/>
  <c r="DU121" i="1"/>
  <c r="DV121" i="1"/>
  <c r="E122" i="1"/>
  <c r="G122" i="1"/>
  <c r="CI122" i="1"/>
  <c r="CJ122" i="1"/>
  <c r="I122" i="1"/>
  <c r="J122" i="1"/>
  <c r="CK122" i="1"/>
  <c r="K122" i="1"/>
  <c r="CL122" i="1"/>
  <c r="CM122" i="1"/>
  <c r="DF122" i="1"/>
  <c r="M122" i="1"/>
  <c r="N122" i="1"/>
  <c r="O122" i="1"/>
  <c r="P122" i="1"/>
  <c r="DG122" i="1"/>
  <c r="Q122" i="1"/>
  <c r="R122" i="1"/>
  <c r="S122" i="1"/>
  <c r="CP122" i="1"/>
  <c r="AE122" i="1"/>
  <c r="AF122" i="1"/>
  <c r="AG122" i="1"/>
  <c r="AI122" i="1"/>
  <c r="AK122" i="1"/>
  <c r="AL122" i="1"/>
  <c r="AO122" i="1"/>
  <c r="AP122" i="1"/>
  <c r="AQ122" i="1"/>
  <c r="DB122" i="1"/>
  <c r="DC122" i="1"/>
  <c r="AU122" i="1"/>
  <c r="AV122" i="1"/>
  <c r="AW122" i="1"/>
  <c r="AZ122" i="1"/>
  <c r="BB122" i="1"/>
  <c r="CX122" i="1"/>
  <c r="BH122" i="1"/>
  <c r="CW122" i="1"/>
  <c r="DI122" i="1"/>
  <c r="DJ122" i="1"/>
  <c r="BC122" i="1"/>
  <c r="BD122" i="1"/>
  <c r="BE122" i="1"/>
  <c r="BF122" i="1"/>
  <c r="BG122" i="1"/>
  <c r="AA122" i="1"/>
  <c r="AB122" i="1"/>
  <c r="BU122" i="1"/>
  <c r="BU123" i="1" s="1"/>
  <c r="BV122" i="1"/>
  <c r="BW122" i="1"/>
  <c r="BN122" i="1"/>
  <c r="DK122" i="1"/>
  <c r="CS122" i="1"/>
  <c r="CT122" i="1"/>
  <c r="CU122" i="1"/>
  <c r="CV122" i="1"/>
  <c r="CY122" i="1"/>
  <c r="DL122" i="1"/>
  <c r="DN122" i="1"/>
  <c r="DO122" i="1"/>
  <c r="BJ122" i="1"/>
  <c r="BL122" i="1"/>
  <c r="BL123" i="1" s="1"/>
  <c r="BQ122" i="1"/>
  <c r="BP122" i="1"/>
  <c r="L122" i="1"/>
  <c r="CD122" i="1"/>
  <c r="BS122" i="1"/>
  <c r="BR122" i="1"/>
  <c r="BI122" i="1"/>
  <c r="BO122" i="1"/>
  <c r="DP122" i="1"/>
  <c r="DM122" i="1"/>
  <c r="CC122" i="1"/>
  <c r="CE122" i="1"/>
  <c r="CF122" i="1"/>
  <c r="BX122" i="1"/>
  <c r="DB7" i="6" l="1"/>
  <c r="DF7" i="6" s="1"/>
  <c r="DF126" i="6" s="1"/>
  <c r="DF122" i="6"/>
  <c r="CG118" i="1"/>
  <c r="CG94" i="1"/>
  <c r="CG87" i="1"/>
  <c r="CG85" i="1"/>
  <c r="CG76" i="1"/>
  <c r="CG68" i="1"/>
  <c r="CG58" i="1"/>
  <c r="CG39" i="1"/>
  <c r="CG28" i="1"/>
  <c r="CG46" i="1"/>
  <c r="CG14" i="1"/>
  <c r="CG41" i="1"/>
  <c r="CG112" i="1"/>
  <c r="CG89" i="1"/>
  <c r="CG81" i="1"/>
  <c r="CG79" i="1"/>
  <c r="CG63" i="1"/>
  <c r="CG61" i="1"/>
  <c r="CG117" i="1"/>
  <c r="CG20" i="1"/>
  <c r="CG110" i="1"/>
  <c r="CG103" i="1"/>
  <c r="CG113" i="1"/>
  <c r="CG70" i="1"/>
  <c r="CG55" i="1"/>
  <c r="CG47" i="1"/>
  <c r="CG13" i="1"/>
  <c r="CG108" i="1"/>
  <c r="CG101" i="1"/>
  <c r="CG88" i="1"/>
  <c r="CG82" i="1"/>
  <c r="CG64" i="1"/>
  <c r="CG62" i="1"/>
  <c r="CG52" i="1"/>
  <c r="CN122" i="5"/>
  <c r="BU121" i="5"/>
  <c r="BU117" i="5"/>
  <c r="BU113" i="5"/>
  <c r="BU109" i="5"/>
  <c r="BU105" i="5"/>
  <c r="BU101" i="5"/>
  <c r="BU97" i="5"/>
  <c r="BU93" i="5"/>
  <c r="BU89" i="5"/>
  <c r="BU85" i="5"/>
  <c r="BU81" i="5"/>
  <c r="BU77" i="5"/>
  <c r="BU73" i="5"/>
  <c r="BU69" i="5"/>
  <c r="BU65" i="5"/>
  <c r="BU61" i="5"/>
  <c r="BU57" i="5"/>
  <c r="BU53" i="5"/>
  <c r="BU46" i="5"/>
  <c r="BU42" i="5"/>
  <c r="BU38" i="5"/>
  <c r="BU34" i="5"/>
  <c r="BU30" i="5"/>
  <c r="BU26" i="5"/>
  <c r="BU22" i="5"/>
  <c r="BU18" i="5"/>
  <c r="BU14" i="5"/>
  <c r="BU10" i="5"/>
  <c r="BU6" i="5"/>
  <c r="BU120" i="5"/>
  <c r="BU96" i="5"/>
  <c r="BU92" i="5"/>
  <c r="BU88" i="5"/>
  <c r="BU84" i="5"/>
  <c r="BU76" i="5"/>
  <c r="BU68" i="5"/>
  <c r="BU64" i="5"/>
  <c r="BU52" i="5"/>
  <c r="BU29" i="5"/>
  <c r="BU13" i="5"/>
  <c r="BU118" i="5"/>
  <c r="BU114" i="5"/>
  <c r="BU110" i="5"/>
  <c r="BU106" i="5"/>
  <c r="BU102" i="5"/>
  <c r="BU98" i="5"/>
  <c r="BU94" i="5"/>
  <c r="BU90" i="5"/>
  <c r="BU86" i="5"/>
  <c r="BU82" i="5"/>
  <c r="BU78" i="5"/>
  <c r="BU74" i="5"/>
  <c r="BU70" i="5"/>
  <c r="BU66" i="5"/>
  <c r="BU62" i="5"/>
  <c r="BU58" i="5"/>
  <c r="BU54" i="5"/>
  <c r="BU50" i="5"/>
  <c r="BU47" i="5"/>
  <c r="BU43" i="5"/>
  <c r="BU39" i="5"/>
  <c r="BU35" i="5"/>
  <c r="BU31" i="5"/>
  <c r="BU27" i="5"/>
  <c r="BU23" i="5"/>
  <c r="BU19" i="5"/>
  <c r="BU15" i="5"/>
  <c r="BU11" i="5"/>
  <c r="BU7" i="5"/>
  <c r="BU116" i="5"/>
  <c r="BU112" i="5"/>
  <c r="BU108" i="5"/>
  <c r="BU104" i="5"/>
  <c r="BU100" i="5"/>
  <c r="BU49" i="5"/>
  <c r="BU9" i="5"/>
  <c r="BU41" i="5"/>
  <c r="BU33" i="5"/>
  <c r="BU25" i="5"/>
  <c r="BU17" i="5"/>
  <c r="BU119" i="5"/>
  <c r="BU115" i="5"/>
  <c r="BU111" i="5"/>
  <c r="BU107" i="5"/>
  <c r="BU103" i="5"/>
  <c r="BU99" i="5"/>
  <c r="BU95" i="5"/>
  <c r="BU91" i="5"/>
  <c r="BU87" i="5"/>
  <c r="BU83" i="5"/>
  <c r="BU79" i="5"/>
  <c r="BU75" i="5"/>
  <c r="BU71" i="5"/>
  <c r="BU67" i="5"/>
  <c r="BU63" i="5"/>
  <c r="BU59" i="5"/>
  <c r="BU55" i="5"/>
  <c r="BU51" i="5"/>
  <c r="BU48" i="5"/>
  <c r="BU44" i="5"/>
  <c r="BU40" i="5"/>
  <c r="BU36" i="5"/>
  <c r="BU32" i="5"/>
  <c r="BU28" i="5"/>
  <c r="BU24" i="5"/>
  <c r="BU20" i="5"/>
  <c r="BU16" i="5"/>
  <c r="BU12" i="5"/>
  <c r="BU8" i="5"/>
  <c r="BU80" i="5"/>
  <c r="BU72" i="5"/>
  <c r="BU60" i="5"/>
  <c r="BU56" i="5"/>
  <c r="BU45" i="5"/>
  <c r="BU37" i="5"/>
  <c r="BU21" i="5"/>
  <c r="DH84" i="5"/>
  <c r="CO81" i="5"/>
  <c r="CO78" i="5"/>
  <c r="CO55" i="5"/>
  <c r="CQ90" i="1"/>
  <c r="DH90" i="5"/>
  <c r="CQ34" i="1"/>
  <c r="CQ34" i="5" s="1"/>
  <c r="DH34" i="5"/>
  <c r="DH27" i="5"/>
  <c r="CO112" i="5"/>
  <c r="CO18" i="5"/>
  <c r="CQ9" i="1"/>
  <c r="CQ9" i="5" s="1"/>
  <c r="DH9" i="5"/>
  <c r="CO42" i="5"/>
  <c r="CQ121" i="1"/>
  <c r="DH121" i="5"/>
  <c r="H116" i="5"/>
  <c r="CO98" i="5"/>
  <c r="DH96" i="5"/>
  <c r="CQ73" i="1"/>
  <c r="DH73" i="5"/>
  <c r="CO51" i="5"/>
  <c r="CR37" i="5"/>
  <c r="CR122" i="5" s="1"/>
  <c r="CQ30" i="1"/>
  <c r="DH30" i="5"/>
  <c r="T122" i="1"/>
  <c r="T25" i="5"/>
  <c r="T122" i="5" s="1"/>
  <c r="BL121" i="5"/>
  <c r="BL113" i="5"/>
  <c r="BL105" i="5"/>
  <c r="BL97" i="5"/>
  <c r="BL89" i="5"/>
  <c r="BL81" i="5"/>
  <c r="BL73" i="5"/>
  <c r="BL65" i="5"/>
  <c r="BL57" i="5"/>
  <c r="BL42" i="5"/>
  <c r="BL34" i="5"/>
  <c r="BL26" i="5"/>
  <c r="BL18" i="5"/>
  <c r="BL10" i="5"/>
  <c r="BL120" i="5"/>
  <c r="BL112" i="5"/>
  <c r="BL104" i="5"/>
  <c r="BL96" i="5"/>
  <c r="BL88" i="5"/>
  <c r="BL80" i="5"/>
  <c r="BL72" i="5"/>
  <c r="BL64" i="5"/>
  <c r="BL56" i="5"/>
  <c r="BL49" i="5"/>
  <c r="BL41" i="5"/>
  <c r="BL33" i="5"/>
  <c r="BL25" i="5"/>
  <c r="BL17" i="5"/>
  <c r="BL9" i="5"/>
  <c r="BL108" i="5"/>
  <c r="BL92" i="5"/>
  <c r="BL68" i="5"/>
  <c r="BL52" i="5"/>
  <c r="BL37" i="5"/>
  <c r="BL107" i="5"/>
  <c r="BL83" i="5"/>
  <c r="BL67" i="5"/>
  <c r="BL44" i="5"/>
  <c r="BL36" i="5"/>
  <c r="BL28" i="5"/>
  <c r="BL119" i="5"/>
  <c r="BL111" i="5"/>
  <c r="BL103" i="5"/>
  <c r="BL95" i="5"/>
  <c r="BL87" i="5"/>
  <c r="BL79" i="5"/>
  <c r="BL71" i="5"/>
  <c r="BL63" i="5"/>
  <c r="BL55" i="5"/>
  <c r="BL48" i="5"/>
  <c r="BL40" i="5"/>
  <c r="BL32" i="5"/>
  <c r="BL24" i="5"/>
  <c r="BL16" i="5"/>
  <c r="BL8" i="5"/>
  <c r="BL116" i="5"/>
  <c r="BL100" i="5"/>
  <c r="BL76" i="5"/>
  <c r="BL60" i="5"/>
  <c r="BL29" i="5"/>
  <c r="BL13" i="5"/>
  <c r="BL115" i="5"/>
  <c r="BL91" i="5"/>
  <c r="BL75" i="5"/>
  <c r="BL51" i="5"/>
  <c r="BL20" i="5"/>
  <c r="BL12" i="5"/>
  <c r="BL118" i="5"/>
  <c r="BL110" i="5"/>
  <c r="BL102" i="5"/>
  <c r="BL94" i="5"/>
  <c r="BL86" i="5"/>
  <c r="BL78" i="5"/>
  <c r="BL70" i="5"/>
  <c r="BL62" i="5"/>
  <c r="BL54" i="5"/>
  <c r="BL47" i="5"/>
  <c r="BL39" i="5"/>
  <c r="BL31" i="5"/>
  <c r="BL23" i="5"/>
  <c r="BL15" i="5"/>
  <c r="BL7" i="5"/>
  <c r="BL84" i="5"/>
  <c r="BL45" i="5"/>
  <c r="BL21" i="5"/>
  <c r="BL99" i="5"/>
  <c r="BL117" i="5"/>
  <c r="BL109" i="5"/>
  <c r="BL101" i="5"/>
  <c r="BL93" i="5"/>
  <c r="BL85" i="5"/>
  <c r="BL77" i="5"/>
  <c r="BL69" i="5"/>
  <c r="BL61" i="5"/>
  <c r="BL53" i="5"/>
  <c r="BL46" i="5"/>
  <c r="BL38" i="5"/>
  <c r="BL30" i="5"/>
  <c r="BL22" i="5"/>
  <c r="BL14" i="5"/>
  <c r="BL6" i="5"/>
  <c r="BL114" i="5"/>
  <c r="BL106" i="5"/>
  <c r="BL98" i="5"/>
  <c r="BL90" i="5"/>
  <c r="BL82" i="5"/>
  <c r="BL74" i="5"/>
  <c r="BL66" i="5"/>
  <c r="BL58" i="5"/>
  <c r="BL50" i="5"/>
  <c r="BL43" i="5"/>
  <c r="BL35" i="5"/>
  <c r="BL27" i="5"/>
  <c r="BL19" i="5"/>
  <c r="BL11" i="5"/>
  <c r="BL59" i="5"/>
  <c r="DH91" i="5"/>
  <c r="CO88" i="5"/>
  <c r="H83" i="5"/>
  <c r="CO80" i="5"/>
  <c r="CO60" i="5"/>
  <c r="DH35" i="5"/>
  <c r="CO28" i="5"/>
  <c r="DH12" i="5"/>
  <c r="CO99" i="5"/>
  <c r="DH8" i="5"/>
  <c r="DH120" i="5"/>
  <c r="DH66" i="5"/>
  <c r="CQ38" i="1"/>
  <c r="DH38" i="5"/>
  <c r="DH29" i="5"/>
  <c r="CO20" i="5"/>
  <c r="DH15" i="5"/>
  <c r="CN122" i="1"/>
  <c r="CR122" i="1"/>
  <c r="CQ120" i="1"/>
  <c r="CQ35" i="1"/>
  <c r="CQ35" i="5" s="1"/>
  <c r="CQ91" i="1"/>
  <c r="H122" i="1"/>
  <c r="CQ27" i="1"/>
  <c r="CQ84" i="1"/>
  <c r="AT122" i="1"/>
  <c r="AS122" i="1"/>
  <c r="F122" i="1"/>
  <c r="CO122" i="1"/>
  <c r="DH122" i="1"/>
  <c r="DV122" i="1"/>
  <c r="DU122" i="1"/>
  <c r="CQ96" i="1"/>
  <c r="CQ29" i="1"/>
  <c r="CQ8" i="1"/>
  <c r="DF125" i="6" l="1"/>
  <c r="DB122" i="6"/>
  <c r="CG122" i="1"/>
  <c r="H122" i="5"/>
  <c r="CO122" i="5"/>
  <c r="CQ84" i="5"/>
  <c r="DH122" i="5"/>
  <c r="CQ90" i="5"/>
  <c r="BU122" i="5"/>
  <c r="BU123" i="5" s="1"/>
  <c r="CQ91" i="5"/>
  <c r="CQ73" i="5"/>
  <c r="CQ121" i="5"/>
  <c r="CQ29" i="5"/>
  <c r="CQ27" i="5"/>
  <c r="CQ120" i="5"/>
  <c r="CQ38" i="5"/>
  <c r="BL122" i="5"/>
  <c r="BL123" i="5" s="1"/>
  <c r="CQ8" i="5"/>
  <c r="CQ96" i="5"/>
  <c r="CQ30" i="5"/>
  <c r="AS126" i="1"/>
  <c r="DV124" i="1"/>
  <c r="CQ122" i="1"/>
  <c r="CQ122" i="5" l="1"/>
  <c r="BX126" i="1" l="1"/>
  <c r="BX125" i="1" l="1"/>
  <c r="CJ12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Mary</author>
  </authors>
  <commentList>
    <comment ref="X3" authorId="0" shapeId="0" xr:uid="{59DCFF3D-1E92-4840-8B71-4F6DCD577BDF}">
      <text>
        <r>
          <rPr>
            <b/>
            <sz val="9"/>
            <color indexed="81"/>
            <rFont val="Tahoma"/>
            <family val="2"/>
          </rPr>
          <t>Mary:</t>
        </r>
        <r>
          <rPr>
            <sz val="9"/>
            <color indexed="81"/>
            <rFont val="Tahoma"/>
            <family val="2"/>
          </rPr>
          <t xml:space="preserve">
Used for ECE TLI, coverage for staff breaks, supplies &amp; materials
</t>
        </r>
      </text>
    </comment>
    <comment ref="AP3" authorId="0" shapeId="0" xr:uid="{E963CF8F-7B7E-42E8-A08F-E01D04400BC4}">
      <text>
        <r>
          <rPr>
            <b/>
            <sz val="9"/>
            <color indexed="81"/>
            <rFont val="Tahoma"/>
            <family val="2"/>
          </rPr>
          <t>Mary:</t>
        </r>
        <r>
          <rPr>
            <sz val="9"/>
            <color indexed="81"/>
            <rFont val="Tahoma"/>
            <family val="2"/>
          </rPr>
          <t xml:space="preserve">
Used for sped TLI, sped coordinator, aides</t>
        </r>
      </text>
    </comment>
    <comment ref="AU3" authorId="0" shapeId="0" xr:uid="{FA52AD0A-54AE-4C3D-AEAB-26BD0707481E}">
      <text>
        <r>
          <rPr>
            <b/>
            <sz val="9"/>
            <color indexed="81"/>
            <rFont val="Tahoma"/>
            <family val="2"/>
          </rPr>
          <t>Mary:</t>
        </r>
        <r>
          <rPr>
            <sz val="9"/>
            <color indexed="81"/>
            <rFont val="Tahoma"/>
            <family val="2"/>
          </rPr>
          <t xml:space="preserve">
Used for EL TLI, bilingual counselors</t>
        </r>
      </text>
    </comment>
    <comment ref="CH3" authorId="0" shapeId="0" xr:uid="{73594491-D078-43FE-B796-7CED6E3BA6AC}">
      <text>
        <r>
          <rPr>
            <b/>
            <sz val="9"/>
            <color indexed="81"/>
            <rFont val="Tahoma"/>
            <family val="2"/>
          </rPr>
          <t>Mary:</t>
        </r>
        <r>
          <rPr>
            <sz val="9"/>
            <color indexed="81"/>
            <rFont val="Tahoma"/>
            <family val="2"/>
          </rPr>
          <t xml:space="preserve">
Initial Allocation pdf</t>
        </r>
      </text>
    </comment>
    <comment ref="CI3" authorId="0" shapeId="0" xr:uid="{A3000270-C94C-46F4-BFF8-85D553440840}">
      <text>
        <r>
          <rPr>
            <b/>
            <sz val="9"/>
            <color indexed="81"/>
            <rFont val="Tahoma"/>
            <family val="2"/>
          </rPr>
          <t>Mary:</t>
        </r>
        <r>
          <rPr>
            <sz val="9"/>
            <color indexed="81"/>
            <rFont val="Tahoma"/>
            <family val="2"/>
          </rPr>
          <t xml:space="preserve">
Bud as Sub top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Mary</author>
  </authors>
  <commentList>
    <comment ref="CH3" authorId="0" shapeId="0" xr:uid="{7BCD1B13-4D49-41CA-B5A8-C4B5486C748E}">
      <text>
        <r>
          <rPr>
            <b/>
            <sz val="9"/>
            <color indexed="81"/>
            <rFont val="Tahoma"/>
            <family val="2"/>
          </rPr>
          <t>Mary:</t>
        </r>
        <r>
          <rPr>
            <sz val="9"/>
            <color indexed="81"/>
            <rFont val="Tahoma"/>
            <family val="2"/>
          </rPr>
          <t xml:space="preserve">
Initial Allocation pdf</t>
        </r>
      </text>
    </comment>
    <comment ref="CI3" authorId="0" shapeId="0" xr:uid="{804E175B-6347-41AC-9736-6E2490548400}">
      <text>
        <r>
          <rPr>
            <b/>
            <sz val="9"/>
            <color indexed="81"/>
            <rFont val="Tahoma"/>
            <family val="2"/>
          </rPr>
          <t>Mary:</t>
        </r>
        <r>
          <rPr>
            <sz val="9"/>
            <color indexed="81"/>
            <rFont val="Tahoma"/>
            <family val="2"/>
          </rPr>
          <t xml:space="preserve">
Bud as Sub top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Mary</author>
  </authors>
  <commentList>
    <comment ref="CE3" authorId="0" shapeId="0" xr:uid="{AE5B98EA-94FE-473A-88DD-4DF8AADE257C}">
      <text>
        <r>
          <rPr>
            <b/>
            <sz val="9"/>
            <color indexed="81"/>
            <rFont val="Tahoma"/>
            <family val="2"/>
          </rPr>
          <t>Mary:</t>
        </r>
        <r>
          <rPr>
            <sz val="9"/>
            <color indexed="81"/>
            <rFont val="Tahoma"/>
            <family val="2"/>
          </rPr>
          <t xml:space="preserve">
Initial Allocation pdf</t>
        </r>
      </text>
    </comment>
    <comment ref="CF3" authorId="0" shapeId="0" xr:uid="{A579DC62-7D01-49D7-A55A-824C206EF4B1}">
      <text>
        <r>
          <rPr>
            <b/>
            <sz val="9"/>
            <color indexed="81"/>
            <rFont val="Tahoma"/>
            <family val="2"/>
          </rPr>
          <t>Mary:</t>
        </r>
        <r>
          <rPr>
            <sz val="9"/>
            <color indexed="81"/>
            <rFont val="Tahoma"/>
            <family val="2"/>
          </rPr>
          <t xml:space="preserve">
Bud as Sub top
</t>
        </r>
      </text>
    </comment>
    <comment ref="CE31" authorId="0" shapeId="0" xr:uid="{01623685-C6BD-4942-81FF-D6A1F980F712}">
      <text>
        <r>
          <rPr>
            <b/>
            <sz val="9"/>
            <color indexed="81"/>
            <rFont val="Tahoma"/>
            <family val="2"/>
          </rPr>
          <t>Mary:</t>
        </r>
        <r>
          <rPr>
            <sz val="9"/>
            <color indexed="81"/>
            <rFont val="Tahoma"/>
            <family val="2"/>
          </rPr>
          <t xml:space="preserve">
repeat
</t>
        </r>
      </text>
    </comment>
    <comment ref="CE33" authorId="0" shapeId="0" xr:uid="{AD4C86A8-1B7A-4A69-A377-7DE4B7991660}">
      <text>
        <r>
          <rPr>
            <b/>
            <sz val="9"/>
            <color indexed="81"/>
            <rFont val="Tahoma"/>
            <family val="2"/>
          </rPr>
          <t>Mary:</t>
        </r>
        <r>
          <rPr>
            <sz val="9"/>
            <color indexed="81"/>
            <rFont val="Tahoma"/>
            <family val="2"/>
          </rPr>
          <t xml:space="preserve">
repeat</t>
        </r>
      </text>
    </comment>
    <comment ref="CE39" authorId="0" shapeId="0" xr:uid="{B295267F-DACD-472D-8174-F4CAEC18CE80}">
      <text>
        <r>
          <rPr>
            <b/>
            <sz val="9"/>
            <color indexed="81"/>
            <rFont val="Tahoma"/>
            <family val="2"/>
          </rPr>
          <t>Mary:</t>
        </r>
        <r>
          <rPr>
            <sz val="9"/>
            <color indexed="81"/>
            <rFont val="Tahoma"/>
            <family val="2"/>
          </rPr>
          <t xml:space="preserve">
repeat
</t>
        </r>
      </text>
    </comment>
    <comment ref="CE76" authorId="0" shapeId="0" xr:uid="{F744B330-81A4-4E6E-B8BA-9C93EA98FDC0}">
      <text>
        <r>
          <rPr>
            <b/>
            <sz val="9"/>
            <color indexed="81"/>
            <rFont val="Tahoma"/>
            <family val="2"/>
          </rPr>
          <t>Mary:</t>
        </r>
        <r>
          <rPr>
            <sz val="9"/>
            <color indexed="81"/>
            <rFont val="Tahoma"/>
            <family val="2"/>
          </rPr>
          <t xml:space="preserve">
repeat
</t>
        </r>
      </text>
    </comment>
    <comment ref="CE84" authorId="0" shapeId="0" xr:uid="{156BE585-49B4-411C-B724-AC4C09094E2A}">
      <text>
        <r>
          <rPr>
            <b/>
            <sz val="9"/>
            <color indexed="81"/>
            <rFont val="Tahoma"/>
            <family val="2"/>
          </rPr>
          <t>Mary:</t>
        </r>
        <r>
          <rPr>
            <sz val="9"/>
            <color indexed="81"/>
            <rFont val="Tahoma"/>
            <family val="2"/>
          </rPr>
          <t xml:space="preserve">
repeat</t>
        </r>
      </text>
    </comment>
    <comment ref="CE85" authorId="0" shapeId="0" xr:uid="{983CA38C-A93D-4010-9B1D-6CA0630CA061}">
      <text>
        <r>
          <rPr>
            <b/>
            <sz val="9"/>
            <color indexed="81"/>
            <rFont val="Tahoma"/>
            <family val="2"/>
          </rPr>
          <t>Mary:</t>
        </r>
        <r>
          <rPr>
            <sz val="9"/>
            <color indexed="81"/>
            <rFont val="Tahoma"/>
            <family val="2"/>
          </rPr>
          <t xml:space="preserve">
repeat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Mary</author>
  </authors>
  <commentList>
    <comment ref="CE3" authorId="0" shapeId="0" xr:uid="{34F62869-9D79-4B78-B2DB-3BAB447D3AE5}">
      <text>
        <r>
          <rPr>
            <b/>
            <sz val="9"/>
            <color indexed="81"/>
            <rFont val="Tahoma"/>
            <family val="2"/>
          </rPr>
          <t>Mary:</t>
        </r>
        <r>
          <rPr>
            <sz val="9"/>
            <color indexed="81"/>
            <rFont val="Tahoma"/>
            <family val="2"/>
          </rPr>
          <t xml:space="preserve">
Initial Allocation pdf</t>
        </r>
      </text>
    </comment>
    <comment ref="CF3" authorId="0" shapeId="0" xr:uid="{E06F064F-536B-438D-B293-4866D29081A9}">
      <text>
        <r>
          <rPr>
            <b/>
            <sz val="9"/>
            <color indexed="81"/>
            <rFont val="Tahoma"/>
            <family val="2"/>
          </rPr>
          <t>Mary:</t>
        </r>
        <r>
          <rPr>
            <sz val="9"/>
            <color indexed="81"/>
            <rFont val="Tahoma"/>
            <family val="2"/>
          </rPr>
          <t xml:space="preserve">
Bud as Sub top
</t>
        </r>
      </text>
    </comment>
    <comment ref="CE31" authorId="0" shapeId="0" xr:uid="{1FCE3A06-3F01-4F6C-BFA9-A0EB90B0C5F1}">
      <text>
        <r>
          <rPr>
            <b/>
            <sz val="9"/>
            <color indexed="81"/>
            <rFont val="Tahoma"/>
            <family val="2"/>
          </rPr>
          <t>Mary:</t>
        </r>
        <r>
          <rPr>
            <sz val="9"/>
            <color indexed="81"/>
            <rFont val="Tahoma"/>
            <family val="2"/>
          </rPr>
          <t xml:space="preserve">
repeat
</t>
        </r>
      </text>
    </comment>
    <comment ref="CE33" authorId="0" shapeId="0" xr:uid="{06948436-65BC-4795-B320-D8ECE4BB851B}">
      <text>
        <r>
          <rPr>
            <b/>
            <sz val="9"/>
            <color indexed="81"/>
            <rFont val="Tahoma"/>
            <family val="2"/>
          </rPr>
          <t>Mary:</t>
        </r>
        <r>
          <rPr>
            <sz val="9"/>
            <color indexed="81"/>
            <rFont val="Tahoma"/>
            <family val="2"/>
          </rPr>
          <t xml:space="preserve">
repeat</t>
        </r>
      </text>
    </comment>
    <comment ref="CE39" authorId="0" shapeId="0" xr:uid="{7EF0EE01-541C-4D38-841F-D2107B6B387A}">
      <text>
        <r>
          <rPr>
            <b/>
            <sz val="9"/>
            <color indexed="81"/>
            <rFont val="Tahoma"/>
            <family val="2"/>
          </rPr>
          <t>Mary:</t>
        </r>
        <r>
          <rPr>
            <sz val="9"/>
            <color indexed="81"/>
            <rFont val="Tahoma"/>
            <family val="2"/>
          </rPr>
          <t xml:space="preserve">
repeat
</t>
        </r>
      </text>
    </comment>
    <comment ref="CE76" authorId="0" shapeId="0" xr:uid="{E9EF2F85-6306-46CB-96E4-F1AB51E3F46A}">
      <text>
        <r>
          <rPr>
            <b/>
            <sz val="9"/>
            <color indexed="81"/>
            <rFont val="Tahoma"/>
            <family val="2"/>
          </rPr>
          <t>Mary:</t>
        </r>
        <r>
          <rPr>
            <sz val="9"/>
            <color indexed="81"/>
            <rFont val="Tahoma"/>
            <family val="2"/>
          </rPr>
          <t xml:space="preserve">
repeat
</t>
        </r>
      </text>
    </comment>
    <comment ref="CE84" authorId="0" shapeId="0" xr:uid="{A38B6EB7-8837-4EB4-A326-E9E3D1FFE6FE}">
      <text>
        <r>
          <rPr>
            <b/>
            <sz val="9"/>
            <color indexed="81"/>
            <rFont val="Tahoma"/>
            <family val="2"/>
          </rPr>
          <t>Mary:</t>
        </r>
        <r>
          <rPr>
            <sz val="9"/>
            <color indexed="81"/>
            <rFont val="Tahoma"/>
            <family val="2"/>
          </rPr>
          <t xml:space="preserve">
repeat</t>
        </r>
      </text>
    </comment>
    <comment ref="CE85" authorId="0" shapeId="0" xr:uid="{D71824D8-01C2-49DB-9E19-F22E32E1974C}">
      <text>
        <r>
          <rPr>
            <b/>
            <sz val="9"/>
            <color indexed="81"/>
            <rFont val="Tahoma"/>
            <family val="2"/>
          </rPr>
          <t>Mary:</t>
        </r>
        <r>
          <rPr>
            <sz val="9"/>
            <color indexed="81"/>
            <rFont val="Tahoma"/>
            <family val="2"/>
          </rPr>
          <t xml:space="preserve">
repeat</t>
        </r>
      </text>
    </comment>
  </commentList>
</comments>
</file>

<file path=xl/sharedStrings.xml><?xml version="1.0" encoding="utf-8"?>
<sst xmlns="http://schemas.openxmlformats.org/spreadsheetml/2006/main" count="3193" uniqueCount="372">
  <si>
    <t>Grand Total</t>
  </si>
  <si>
    <t>HS</t>
  </si>
  <si>
    <t>Woodson, H.D. HS</t>
  </si>
  <si>
    <t>Wilson HS</t>
  </si>
  <si>
    <t>EC</t>
  </si>
  <si>
    <t>Whittier EC</t>
  </si>
  <si>
    <t>Wheatley EC</t>
  </si>
  <si>
    <t>ES</t>
  </si>
  <si>
    <t>West ES</t>
  </si>
  <si>
    <t>Watkins ES</t>
  </si>
  <si>
    <t>Walker-Jones EC</t>
  </si>
  <si>
    <t>Van Ness ES</t>
  </si>
  <si>
    <t>Tyler ES</t>
  </si>
  <si>
    <t>Turner ES</t>
  </si>
  <si>
    <t>Tubman ES</t>
  </si>
  <si>
    <t>Truesdell ES</t>
  </si>
  <si>
    <t>Thomson ES</t>
  </si>
  <si>
    <t>Thomas ES</t>
  </si>
  <si>
    <t>Takoma ES</t>
  </si>
  <si>
    <t>MS</t>
  </si>
  <si>
    <t>Stuart-Hobson MS</t>
  </si>
  <si>
    <t>Stoddert ES</t>
  </si>
  <si>
    <t>Stevens Early Learning Center</t>
  </si>
  <si>
    <t>Stanton ES</t>
  </si>
  <si>
    <t>Sousa MS</t>
  </si>
  <si>
    <t>Smothers ES</t>
  </si>
  <si>
    <t>Simon ES</t>
  </si>
  <si>
    <t>Shepherd ES</t>
  </si>
  <si>
    <t>Seaton ES</t>
  </si>
  <si>
    <t>School-Within-School @ Goding</t>
  </si>
  <si>
    <t>School Without Walls HS</t>
  </si>
  <si>
    <t>School Without Walls @ Francis-Stevens</t>
  </si>
  <si>
    <t>Savoy ES</t>
  </si>
  <si>
    <t>Ross ES</t>
  </si>
  <si>
    <t>N/A</t>
  </si>
  <si>
    <t>STAY</t>
  </si>
  <si>
    <t>Roosevelt STAY</t>
  </si>
  <si>
    <t>Roosevelt HS</t>
  </si>
  <si>
    <t>Ron Brown College Preparatory HS</t>
  </si>
  <si>
    <t>SEC</t>
  </si>
  <si>
    <t>River Terrace SEC</t>
  </si>
  <si>
    <t>Raymond ES</t>
  </si>
  <si>
    <t>Randle Highlands ES</t>
  </si>
  <si>
    <t>Powell ES</t>
  </si>
  <si>
    <t>Plummer ES</t>
  </si>
  <si>
    <t>Phelps ACE HS</t>
  </si>
  <si>
    <t>Peabody ES</t>
  </si>
  <si>
    <t>Payne ES</t>
  </si>
  <si>
    <t>Patterson ES</t>
  </si>
  <si>
    <t>Oyster-Adams Bilingual School</t>
  </si>
  <si>
    <t>Noyes ES</t>
  </si>
  <si>
    <t>Nalle ES</t>
  </si>
  <si>
    <t>Murch ES</t>
  </si>
  <si>
    <t>Moten ES</t>
  </si>
  <si>
    <t>Miner ES</t>
  </si>
  <si>
    <t xml:space="preserve">Military Road Early Learning Center </t>
  </si>
  <si>
    <t>McKinley Technology HS</t>
  </si>
  <si>
    <t>McKinley MS</t>
  </si>
  <si>
    <t>Maury ES</t>
  </si>
  <si>
    <t>Marie Reed ES</t>
  </si>
  <si>
    <t>Mann ES</t>
  </si>
  <si>
    <t>Malcolm X ES @ Green</t>
  </si>
  <si>
    <t>MacFarland MS</t>
  </si>
  <si>
    <t>Luke Moore Alternative HS</t>
  </si>
  <si>
    <t>Ludlow-Taylor ES</t>
  </si>
  <si>
    <t>Leckie EC</t>
  </si>
  <si>
    <t>LaSalle-Backus EC</t>
  </si>
  <si>
    <t>Langley ES</t>
  </si>
  <si>
    <t>Langdon ES</t>
  </si>
  <si>
    <t>Lafayette ES</t>
  </si>
  <si>
    <t>Kramer MS</t>
  </si>
  <si>
    <t>King, M.L. ES</t>
  </si>
  <si>
    <t>Kimball ES</t>
  </si>
  <si>
    <t>Key ES</t>
  </si>
  <si>
    <t>Ketcham ES</t>
  </si>
  <si>
    <t>Kelly Miller MS</t>
  </si>
  <si>
    <t>Johnson MS</t>
  </si>
  <si>
    <t>Jefferson Academy MS</t>
  </si>
  <si>
    <t>Janney ES</t>
  </si>
  <si>
    <t>J.O. Wilson ES</t>
  </si>
  <si>
    <t>Ida B. Wells MS</t>
  </si>
  <si>
    <t>Hyde-Addison ES</t>
  </si>
  <si>
    <t>Houston ES</t>
  </si>
  <si>
    <t>Hendley ES</t>
  </si>
  <si>
    <t>Hearst ES</t>
  </si>
  <si>
    <t>Hart MS</t>
  </si>
  <si>
    <t>Hardy MS</t>
  </si>
  <si>
    <t>H.D. Cooke ES</t>
  </si>
  <si>
    <t>Garrison ES</t>
  </si>
  <si>
    <t>Garfield ES</t>
  </si>
  <si>
    <t>Excel Academy</t>
  </si>
  <si>
    <t>Ellington School of the Arts</t>
  </si>
  <si>
    <t>Eliot-Hine MS</t>
  </si>
  <si>
    <t>Eaton ES</t>
  </si>
  <si>
    <t>Eastern HS</t>
  </si>
  <si>
    <t>Dunbar HS</t>
  </si>
  <si>
    <t>Drew ES</t>
  </si>
  <si>
    <t>Dorothy Height ES</t>
  </si>
  <si>
    <t>Deal MS</t>
  </si>
  <si>
    <t>Coolidge HS</t>
  </si>
  <si>
    <t>EC2</t>
  </si>
  <si>
    <t>Columbia Heights EC (CHEC)</t>
  </si>
  <si>
    <t>Cleveland ES</t>
  </si>
  <si>
    <t>Cardozo EC</t>
  </si>
  <si>
    <t>Capitol Hill Montessori School</t>
  </si>
  <si>
    <t>C.W. Harris ES</t>
  </si>
  <si>
    <t>Burrville ES</t>
  </si>
  <si>
    <t>Burroughs ES</t>
  </si>
  <si>
    <t>Bunker Hill ES</t>
  </si>
  <si>
    <t>Bruce-Monroe ES @ Park View</t>
  </si>
  <si>
    <t>Browne EC</t>
  </si>
  <si>
    <t>Brookland MS</t>
  </si>
  <si>
    <t>Brightwood EC</t>
  </si>
  <si>
    <t>Brent ES</t>
  </si>
  <si>
    <t>Boone ES</t>
  </si>
  <si>
    <t>Benjamin Banneker HS</t>
  </si>
  <si>
    <t>Beers ES</t>
  </si>
  <si>
    <t>Barnard ES</t>
  </si>
  <si>
    <t>Bard Early College HS</t>
  </si>
  <si>
    <t>Bancroft ES</t>
  </si>
  <si>
    <t>Ballou STAY</t>
  </si>
  <si>
    <t>Ballou HS</t>
  </si>
  <si>
    <t>Anacostia HS</t>
  </si>
  <si>
    <t>Amidon-Bowen ES</t>
  </si>
  <si>
    <t>Aiton ES</t>
  </si>
  <si>
    <t>L3</t>
  </si>
  <si>
    <t>L2</t>
  </si>
  <si>
    <t>L1</t>
  </si>
  <si>
    <t>Flex level</t>
  </si>
  <si>
    <t>Non-Personnel Spending</t>
  </si>
  <si>
    <t>Related Arts</t>
  </si>
  <si>
    <t>Other</t>
  </si>
  <si>
    <t>Schoolwide Instructional Support Positions</t>
  </si>
  <si>
    <t>General Education Teachers</t>
  </si>
  <si>
    <t>School Leadership</t>
  </si>
  <si>
    <t>Afterschool Programs</t>
  </si>
  <si>
    <t>Evening Credit Recovery (ECR)</t>
  </si>
  <si>
    <t>English Language Learners Positions (ELL)</t>
  </si>
  <si>
    <t>Special Education Positions</t>
  </si>
  <si>
    <t>Social-Emotional Positions</t>
  </si>
  <si>
    <t>Classroom Instructional Support Positions</t>
  </si>
  <si>
    <t>Early Childhood Education Positions (ECE)</t>
  </si>
  <si>
    <t>Custodial Staff</t>
  </si>
  <si>
    <t>Administrative</t>
  </si>
  <si>
    <t>At-risk Allocation Budgets as Submitted</t>
  </si>
  <si>
    <t>ESSER III-ARP</t>
  </si>
  <si>
    <t>ESSER II</t>
  </si>
  <si>
    <t>Additional Budget Support NO ESSER</t>
  </si>
  <si>
    <t>Chancellor's Initial Budget Support</t>
  </si>
  <si>
    <t>Stabilization Funds</t>
  </si>
  <si>
    <t>Alternative Excellence through Equity (At-risk flex)</t>
  </si>
  <si>
    <t>Excellence through Equity (At-risk flex)</t>
  </si>
  <si>
    <t>Recreation Specialist (Aquatics)</t>
  </si>
  <si>
    <t>IB Funds</t>
  </si>
  <si>
    <t>3rd grade HPE Swim Program Contribution</t>
  </si>
  <si>
    <t>Specialty Funds</t>
  </si>
  <si>
    <t>Per Pupil Funding Minimum Payment</t>
  </si>
  <si>
    <t>Custodial and Maintenance Supplies</t>
  </si>
  <si>
    <t>Pool Maintenance MOU</t>
  </si>
  <si>
    <t>Pool MOU Supplies</t>
  </si>
  <si>
    <t>Director - Early College Academy</t>
  </si>
  <si>
    <t>Coordinator - Global Studies</t>
  </si>
  <si>
    <t>Alternative Pathways Programming</t>
  </si>
  <si>
    <t>Pathways Programming</t>
  </si>
  <si>
    <t>Alternative Pathways Coordinator - Program</t>
  </si>
  <si>
    <t>Pathways Coordinator - Program</t>
  </si>
  <si>
    <t>At-risk Technology</t>
  </si>
  <si>
    <t>One-Star School Supports</t>
  </si>
  <si>
    <t>Coordinator - Athletic and Activities</t>
  </si>
  <si>
    <t>Social-Emotional Support Funds</t>
  </si>
  <si>
    <t>Middle Grades Enrichment &amp; Activities</t>
  </si>
  <si>
    <t>Middle Grades Exposures &amp; Excursions</t>
  </si>
  <si>
    <t>At-riskTeacher - Middle Grade Investment</t>
  </si>
  <si>
    <t>Teacher - Middle Grade Investment</t>
  </si>
  <si>
    <t>Teacher, Physical Education Aquatics</t>
  </si>
  <si>
    <t>Manager - NAF Academy</t>
  </si>
  <si>
    <t>Coordinator - NAF Academy</t>
  </si>
  <si>
    <t>Director - NAF Academy</t>
  </si>
  <si>
    <t>Teacher - JROTC (Junior)</t>
  </si>
  <si>
    <t>Teacher - JROTC (Senior)</t>
  </si>
  <si>
    <t>Twilight Admin Premium</t>
  </si>
  <si>
    <t>Ninth Grade Academy NPS</t>
  </si>
  <si>
    <t>Ninth Grade Academy Admin Premium</t>
  </si>
  <si>
    <t>Assistant Principal - Ninth Grade Academy</t>
  </si>
  <si>
    <t>Specialist - Reading</t>
  </si>
  <si>
    <t>Technology Instructional Coach (TIC)</t>
  </si>
  <si>
    <t>Assistant Principal - Intervention (API)</t>
  </si>
  <si>
    <t>Teacher - Schoolwide Enrichment Model (SEM)</t>
  </si>
  <si>
    <t>Coordinator - Intl Baccalaureate</t>
  </si>
  <si>
    <t>CTE/NAF</t>
  </si>
  <si>
    <t>Title II Professional Development</t>
  </si>
  <si>
    <t>Title I - Schoolwide+Parent Involve</t>
  </si>
  <si>
    <t>ASP Grants 21st CCLC</t>
  </si>
  <si>
    <t>Afterschool Site Leader</t>
  </si>
  <si>
    <t>Afterschool Paraprofessional</t>
  </si>
  <si>
    <t>Afterschool Teacher</t>
  </si>
  <si>
    <t>Guidance Counselor - 11mo (Bilingual)</t>
  </si>
  <si>
    <t>Guidance Counselor - 10mo (Bilingual)</t>
  </si>
  <si>
    <t>Aide - ELL</t>
  </si>
  <si>
    <t>Itinerant ELL Teacher</t>
  </si>
  <si>
    <t xml:space="preserve">Teacher - ELL      </t>
  </si>
  <si>
    <t>Coordinator - Board Certified Behavior Analyst</t>
  </si>
  <si>
    <t>Behavior Technician (BES Classroom)</t>
  </si>
  <si>
    <t>Aide - Special Education</t>
  </si>
  <si>
    <t>Total Special Education Teachers</t>
  </si>
  <si>
    <t>Social Worker</t>
  </si>
  <si>
    <t>Psychologist</t>
  </si>
  <si>
    <t>At-Risk General Ed Teacher</t>
  </si>
  <si>
    <t>Total General Ed Teacher Allocation</t>
  </si>
  <si>
    <t>Aide - Kindergarten</t>
  </si>
  <si>
    <t>Aide - Early Childhood</t>
  </si>
  <si>
    <t>Teacher - PK4</t>
  </si>
  <si>
    <t>Teacher - PK3/PK4 (Mixed Age)</t>
  </si>
  <si>
    <t>Teacher - PK3</t>
  </si>
  <si>
    <t>At-risk Related Arts Teachers</t>
  </si>
  <si>
    <t>Total Related Arts Teachers</t>
  </si>
  <si>
    <t>School Librarian</t>
  </si>
  <si>
    <t>Custodian (RW-3)</t>
  </si>
  <si>
    <t>Custodian (RW-5)</t>
  </si>
  <si>
    <t>Custodial Foreman</t>
  </si>
  <si>
    <t>At-risk Attendance Counselor</t>
  </si>
  <si>
    <t>Attendance Counselor</t>
  </si>
  <si>
    <t>Registrar</t>
  </si>
  <si>
    <t>Clerk</t>
  </si>
  <si>
    <t>Aide - Administrative</t>
  </si>
  <si>
    <t>Business Manager</t>
  </si>
  <si>
    <t>School Counselor - 11mo</t>
  </si>
  <si>
    <t>School Counselor - 10mo</t>
  </si>
  <si>
    <t>Assistant Principal - Other</t>
  </si>
  <si>
    <t>Instructional Coach</t>
  </si>
  <si>
    <t>Principal</t>
  </si>
  <si>
    <t>FY22 Proj At-risk #</t>
  </si>
  <si>
    <t>FY22 Proj At-risk %</t>
  </si>
  <si>
    <t>FY22 Proj Enroll</t>
  </si>
  <si>
    <t>Ward</t>
  </si>
  <si>
    <t>Sch Type</t>
  </si>
  <si>
    <t>School Name</t>
  </si>
  <si>
    <t>School Code</t>
  </si>
  <si>
    <t>FY23 Proj Enroll</t>
  </si>
  <si>
    <t>FY23 Proj At-risk %</t>
  </si>
  <si>
    <t>FY23 Proj At-risk #</t>
  </si>
  <si>
    <t>Enroll</t>
  </si>
  <si>
    <t>Dual Language</t>
  </si>
  <si>
    <t>ECE</t>
  </si>
  <si>
    <t>Hold Harmless</t>
  </si>
  <si>
    <t>Mayor's Recovery</t>
  </si>
  <si>
    <t>Safe &amp; Positive Schools</t>
  </si>
  <si>
    <t>Staffing ratio</t>
  </si>
  <si>
    <t>Prog Grant</t>
  </si>
  <si>
    <t>Stability</t>
  </si>
  <si>
    <t>SBB</t>
  </si>
  <si>
    <t>Self-contained Special Ed</t>
  </si>
  <si>
    <t>L3-L1</t>
  </si>
  <si>
    <t>CTE Teacher</t>
  </si>
  <si>
    <t>L1-L2</t>
  </si>
  <si>
    <t>At-risk Concentration</t>
  </si>
  <si>
    <t>SBB sped</t>
  </si>
  <si>
    <t>SBB-EL</t>
  </si>
  <si>
    <t>SBB at-risk</t>
  </si>
  <si>
    <t>SBB At-risk</t>
  </si>
  <si>
    <t>Prog Grant-T I</t>
  </si>
  <si>
    <t>Admin aide</t>
  </si>
  <si>
    <t>Total $$</t>
  </si>
  <si>
    <t>CTE/vocational teacher</t>
  </si>
  <si>
    <t>JROTC instructors</t>
  </si>
  <si>
    <t>NPS allocation</t>
  </si>
  <si>
    <t>School</t>
  </si>
  <si>
    <t>Basis</t>
  </si>
  <si>
    <t>Special</t>
  </si>
  <si>
    <t>Afterschool local</t>
  </si>
  <si>
    <t>Title I</t>
  </si>
  <si>
    <t>Credit recovery</t>
  </si>
  <si>
    <t>Gen ed?</t>
  </si>
  <si>
    <t>Y</t>
  </si>
  <si>
    <t>N</t>
  </si>
  <si>
    <t>Special programs</t>
  </si>
  <si>
    <t>Pools</t>
  </si>
  <si>
    <t>Specialty payment</t>
  </si>
  <si>
    <t>At-risk NAF</t>
  </si>
  <si>
    <t>At-risk UPSFF</t>
  </si>
  <si>
    <t>At risk</t>
  </si>
  <si>
    <t>Special programs-selected schools</t>
  </si>
  <si>
    <t>Needs-based</t>
  </si>
  <si>
    <t>Staffing/Enroll gen ed</t>
  </si>
  <si>
    <t>NPS All + Admin Prem/ Cust over</t>
  </si>
  <si>
    <t>ECE Weight</t>
  </si>
  <si>
    <t>Stevens Weight</t>
  </si>
  <si>
    <t>Military Road Weight</t>
  </si>
  <si>
    <t>EC Weight</t>
  </si>
  <si>
    <t>Vocational Teacher</t>
  </si>
  <si>
    <t>SBB Base Weight</t>
  </si>
  <si>
    <t>Subtotal</t>
  </si>
  <si>
    <t>SPED Weight</t>
  </si>
  <si>
    <t>RT Weight</t>
  </si>
  <si>
    <t>ELL Weight</t>
  </si>
  <si>
    <t>Title I - Parent Involve</t>
  </si>
  <si>
    <t>Global Studies NPS</t>
  </si>
  <si>
    <t>Safety Net Supplement</t>
  </si>
  <si>
    <t>Aide - Instructional - Year Round (80hr)</t>
  </si>
  <si>
    <t>Total-repeat &amp; new items</t>
  </si>
  <si>
    <t>General ed not specifically funded</t>
  </si>
  <si>
    <t xml:space="preserve">General ed flex funds </t>
  </si>
  <si>
    <t>Stability funds</t>
  </si>
  <si>
    <t>Program grants FY23</t>
  </si>
  <si>
    <t>NPS Comparison FY22</t>
  </si>
  <si>
    <t>Custodial &amp; maintenance supplies</t>
  </si>
  <si>
    <t>Total General Ed Flex + Stability</t>
  </si>
  <si>
    <t>Related Arts K5</t>
  </si>
  <si>
    <t>Visual Arts</t>
  </si>
  <si>
    <t>Music</t>
  </si>
  <si>
    <t>Performing Arts</t>
  </si>
  <si>
    <t>Total</t>
  </si>
  <si>
    <t>Requirements</t>
  </si>
  <si>
    <t>45 min/week</t>
  </si>
  <si>
    <t>90 min/week</t>
  </si>
  <si>
    <t>K-5</t>
  </si>
  <si>
    <t>6-8</t>
  </si>
  <si>
    <t>9-12</t>
  </si>
  <si>
    <t xml:space="preserve">PE </t>
  </si>
  <si>
    <t>135 min/week</t>
  </si>
  <si>
    <t>Health</t>
  </si>
  <si>
    <t>75 min/week</t>
  </si>
  <si>
    <t>75min/week</t>
  </si>
  <si>
    <t>World languages</t>
  </si>
  <si>
    <t>optional</t>
  </si>
  <si>
    <t>1 sem/yr</t>
  </si>
  <si>
    <t>.5 CU total</t>
  </si>
  <si>
    <t>1 CU total</t>
  </si>
  <si>
    <t>2.0 CU total</t>
  </si>
  <si>
    <t>112.5 min/week</t>
  </si>
  <si>
    <t>MS special categories</t>
  </si>
  <si>
    <t>NPS+Admin/Cust Over Total</t>
  </si>
  <si>
    <t>FY23 Proj Enroll K12</t>
  </si>
  <si>
    <t>FY22 Proj Enroll K12</t>
  </si>
  <si>
    <t>Change Proj Enroll K12</t>
  </si>
  <si>
    <t>FY 22 Allo</t>
  </si>
  <si>
    <t>FY22 Sub</t>
  </si>
  <si>
    <t>Ratio FY22 Allo</t>
  </si>
  <si>
    <t>Ratio FY22 sub</t>
  </si>
  <si>
    <t>Difference</t>
  </si>
  <si>
    <t>at-risk</t>
  </si>
  <si>
    <t>Chan assis</t>
  </si>
  <si>
    <t>Spec/ PPFM</t>
  </si>
  <si>
    <t>Petition</t>
  </si>
  <si>
    <t>Total specifically allocated</t>
  </si>
  <si>
    <t>K12 enroll change to FY23</t>
  </si>
  <si>
    <t>K12 enroll FY22</t>
  </si>
  <si>
    <t>K12 enroll FY23</t>
  </si>
  <si>
    <t>Result FY23</t>
  </si>
  <si>
    <t>Cf allot</t>
  </si>
  <si>
    <t>cF. Sub</t>
  </si>
  <si>
    <t>Ratio for FY23*</t>
  </si>
  <si>
    <t>1 can cover</t>
  </si>
  <si>
    <t>PE</t>
  </si>
  <si>
    <t>Art Teacher</t>
  </si>
  <si>
    <t>Music Teacher</t>
  </si>
  <si>
    <t>Health/PE Teacher</t>
  </si>
  <si>
    <t>Maximum needed</t>
  </si>
  <si>
    <t>PK</t>
  </si>
  <si>
    <t>Total for Rel Arts PK-5</t>
  </si>
  <si>
    <t>Brightwood ES</t>
  </si>
  <si>
    <t>`</t>
  </si>
  <si>
    <t>LEAP teams needed</t>
  </si>
  <si>
    <t>Instruc coach</t>
  </si>
  <si>
    <t>AP</t>
  </si>
  <si>
    <t>TLI</t>
  </si>
  <si>
    <t>TLI Teacher</t>
  </si>
  <si>
    <r>
      <t xml:space="preserve">Delta over/ </t>
    </r>
    <r>
      <rPr>
        <sz val="10"/>
        <color rgb="FFFF0000"/>
        <rFont val="Times New Roman"/>
        <family val="1"/>
      </rPr>
      <t xml:space="preserve">below </t>
    </r>
    <r>
      <rPr>
        <sz val="10"/>
        <rFont val="Times New Roman"/>
        <family val="1"/>
      </rPr>
      <t>general ed not specifically funded</t>
    </r>
  </si>
  <si>
    <t>Cf. at-risk</t>
  </si>
  <si>
    <t># schools w/ shortfall</t>
  </si>
  <si>
    <t># schools fully funded</t>
  </si>
  <si>
    <t>General ed services not specifically funded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</si>
</sst>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0.0"/>
    <numFmt numFmtId="168" formatCode="_(&quot;$&quot;* #,##0_);_(&quot;$&quot;* \(#,##0\);_(&quot;$&quot;* &quot;-&quot;??_);_(@_)"/>
    <numFmt numFmtId="169" formatCode="_(* #,##0.0_);_(* \(#,##0.0\);_(* &quot;-&quot;??_);_(@_)"/>
    <numFmt numFmtId="170" formatCode="0_);[Red]\(0\)"/>
  </numFmts>
  <fonts count="9" x14ac:knownFonts="1">
    <font>
      <sz val="10"/>
      <color rgb="FF000000"/>
      <name val="Times New Roman"/>
      <family val="1"/>
    </font>
    <font>
      <sz val="10"/>
      <color rgb="FF000000"/>
      <name val="Times New Roman"/>
      <family val="1"/>
    </font>
    <font>
      <sz val="16"/>
      <color rgb="FFFF0000"/>
      <name val="Times New Roman"/>
      <family val="1"/>
    </font>
    <font>
      <sz val="10"/>
      <color theme="1"/>
      <name val="Times New Roman"/>
      <family val="1"/>
    </font>
    <font>
      <b/>
      <sz val="9"/>
      <color indexed="81"/>
      <name val="Tahoma"/>
      <family val="2"/>
    </font>
    <font>
      <sz val="9"/>
      <color indexed="81"/>
      <name val="Tahoma"/>
      <family val="2"/>
    </font>
    <font>
      <b/>
      <sz val="10"/>
      <color rgb="FF000000"/>
      <name val="Times New Roman"/>
      <family val="1"/>
    </font>
    <font>
      <sz val="10"/>
      <color rgb="FFFF0000"/>
      <name val="Times New Roman"/>
      <family val="1"/>
    </font>
    <font>
      <sz val="10"/>
      <name val="Times New Roman"/>
      <family val="1"/>
    </font>
  </fonts>
  <fills count="12">
    <fill>
      <patternFill patternType="none"/>
    </fill>
    <fill>
      <patternFill patternType="gray125"/>
    </fill>
    <fill>
      <patternFill patternType="solid">
        <fgColor rgb="FFFFFF00"/>
        <bgColor indexed="64"/>
      </patternFill>
    </fill>
    <fill>
      <patternFill patternType="solid">
        <fgColor theme="7" tint="-0.249977111117893"/>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00B0F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9999FF"/>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164" fontId="0" fillId="0" borderId="0" xfId="1" applyNumberFormat="1" applyFont="1"/>
    <xf numFmtId="49" fontId="0" fillId="0" borderId="0" xfId="0" applyNumberFormat="1"/>
    <xf numFmtId="49" fontId="0" fillId="0" borderId="0" xfId="0" applyNumberFormat="1" applyAlignment="1">
      <alignment horizontal="center"/>
    </xf>
    <xf numFmtId="165" fontId="0" fillId="0" borderId="0" xfId="3" applyNumberFormat="1" applyFont="1"/>
    <xf numFmtId="0" fontId="0" fillId="0" borderId="0" xfId="0" applyAlignment="1">
      <alignment horizontal="center"/>
    </xf>
    <xf numFmtId="6" fontId="0" fillId="0" borderId="0" xfId="0" applyNumberFormat="1"/>
    <xf numFmtId="165" fontId="0" fillId="0" borderId="0" xfId="3" applyNumberFormat="1" applyFont="1" applyFill="1"/>
    <xf numFmtId="164" fontId="0" fillId="0" borderId="0" xfId="1" applyNumberFormat="1" applyFont="1" applyFill="1"/>
    <xf numFmtId="49" fontId="0" fillId="0" borderId="0" xfId="0" applyNumberFormat="1" applyAlignment="1">
      <alignment horizontal="right"/>
    </xf>
    <xf numFmtId="49" fontId="2" fillId="0" borderId="0" xfId="0" applyNumberFormat="1" applyFont="1" applyAlignment="1">
      <alignment horizontal="left"/>
    </xf>
    <xf numFmtId="0" fontId="0" fillId="0" borderId="0" xfId="0" applyAlignment="1">
      <alignment wrapText="1"/>
    </xf>
    <xf numFmtId="0" fontId="0" fillId="4" borderId="0" xfId="0" applyFill="1" applyAlignment="1">
      <alignment horizontal="center" wrapText="1"/>
    </xf>
    <xf numFmtId="0" fontId="0" fillId="2" borderId="0" xfId="0" applyFill="1" applyAlignment="1">
      <alignment horizontal="center" wrapText="1"/>
    </xf>
    <xf numFmtId="0" fontId="0" fillId="6" borderId="0" xfId="0" applyFill="1" applyAlignment="1">
      <alignment horizontal="center" wrapText="1"/>
    </xf>
    <xf numFmtId="0" fontId="0" fillId="7" borderId="0" xfId="0" applyFill="1" applyAlignment="1">
      <alignment horizontal="center" wrapText="1"/>
    </xf>
    <xf numFmtId="0" fontId="0" fillId="8" borderId="0" xfId="0" applyFill="1" applyAlignment="1">
      <alignment horizontal="center" wrapText="1"/>
    </xf>
    <xf numFmtId="0" fontId="0" fillId="0" borderId="0" xfId="0" applyAlignment="1">
      <alignment horizontal="center" wrapText="1"/>
    </xf>
    <xf numFmtId="0" fontId="0" fillId="9" borderId="0" xfId="0" applyFill="1" applyAlignment="1">
      <alignment horizontal="center" wrapText="1"/>
    </xf>
    <xf numFmtId="166" fontId="3" fillId="5" borderId="0" xfId="0" applyNumberFormat="1" applyFont="1" applyFill="1" applyAlignment="1">
      <alignment horizontal="center" vertical="center" wrapText="1"/>
    </xf>
    <xf numFmtId="0" fontId="0" fillId="0" borderId="0" xfId="0" applyAlignment="1">
      <alignment horizontal="center" vertical="center" wrapText="1"/>
    </xf>
    <xf numFmtId="0" fontId="0" fillId="10" borderId="0" xfId="0" applyFill="1" applyAlignment="1">
      <alignment horizontal="center" vertical="center" wrapText="1"/>
    </xf>
    <xf numFmtId="0" fontId="0" fillId="3" borderId="0" xfId="0" applyFill="1" applyAlignment="1">
      <alignment horizontal="center" wrapText="1"/>
    </xf>
    <xf numFmtId="164" fontId="0" fillId="0" borderId="0" xfId="1" applyNumberFormat="1" applyFont="1" applyAlignment="1">
      <alignment horizontal="center" wrapText="1"/>
    </xf>
    <xf numFmtId="49" fontId="0" fillId="0" borderId="0" xfId="0" applyNumberFormat="1" applyAlignment="1">
      <alignment wrapText="1"/>
    </xf>
    <xf numFmtId="44" fontId="0" fillId="0" borderId="0" xfId="2" applyFont="1"/>
    <xf numFmtId="167" fontId="0" fillId="0" borderId="0" xfId="0" applyNumberFormat="1" applyAlignment="1">
      <alignment horizontal="center" wrapText="1"/>
    </xf>
    <xf numFmtId="167" fontId="0" fillId="0" borderId="0" xfId="0" applyNumberFormat="1"/>
    <xf numFmtId="168" fontId="0" fillId="0" borderId="0" xfId="0" applyNumberFormat="1"/>
    <xf numFmtId="4" fontId="0" fillId="0" borderId="0" xfId="0" applyNumberFormat="1"/>
    <xf numFmtId="4" fontId="0" fillId="0" borderId="0" xfId="2" applyNumberFormat="1" applyFont="1"/>
    <xf numFmtId="43" fontId="0" fillId="0" borderId="0" xfId="0" applyNumberFormat="1"/>
    <xf numFmtId="0" fontId="0" fillId="0" borderId="0" xfId="0" applyFill="1" applyAlignment="1">
      <alignment horizontal="center" wrapText="1"/>
    </xf>
    <xf numFmtId="168" fontId="0" fillId="0" borderId="0" xfId="2" applyNumberFormat="1" applyFont="1" applyAlignment="1">
      <alignment wrapText="1"/>
    </xf>
    <xf numFmtId="168" fontId="0" fillId="0" borderId="0" xfId="2" applyNumberFormat="1" applyFont="1"/>
    <xf numFmtId="168" fontId="0" fillId="0" borderId="0" xfId="2" applyNumberFormat="1" applyFont="1" applyAlignment="1">
      <alignment horizontal="center" wrapText="1"/>
    </xf>
    <xf numFmtId="49" fontId="0" fillId="0" borderId="0" xfId="0" applyNumberFormat="1" applyAlignment="1">
      <alignment horizontal="left" wrapText="1"/>
    </xf>
    <xf numFmtId="167" fontId="0" fillId="0" borderId="0" xfId="0" applyNumberFormat="1" applyAlignment="1">
      <alignment horizontal="left" wrapText="1"/>
    </xf>
    <xf numFmtId="44" fontId="0" fillId="0" borderId="0" xfId="2" applyFont="1" applyAlignment="1">
      <alignment horizontal="left"/>
    </xf>
    <xf numFmtId="0" fontId="0" fillId="0" borderId="0" xfId="0" applyAlignment="1">
      <alignment horizontal="left"/>
    </xf>
    <xf numFmtId="0" fontId="0" fillId="0" borderId="0" xfId="0" applyAlignment="1">
      <alignment horizontal="left" wrapText="1"/>
    </xf>
    <xf numFmtId="166" fontId="0" fillId="0" borderId="0" xfId="0" applyNumberFormat="1"/>
    <xf numFmtId="0" fontId="0" fillId="11" borderId="0" xfId="0" applyFill="1" applyAlignment="1">
      <alignment horizontal="center" wrapText="1"/>
    </xf>
    <xf numFmtId="169" fontId="0" fillId="0" borderId="0" xfId="1" applyNumberFormat="1" applyFont="1"/>
    <xf numFmtId="49" fontId="6" fillId="0" borderId="0" xfId="0" applyNumberFormat="1" applyFont="1" applyAlignment="1">
      <alignment horizontal="left"/>
    </xf>
    <xf numFmtId="0" fontId="6" fillId="0" borderId="0" xfId="0" applyFont="1" applyAlignment="1">
      <alignment horizontal="left"/>
    </xf>
    <xf numFmtId="0" fontId="6" fillId="0" borderId="0" xfId="0" applyFont="1" applyAlignment="1">
      <alignment wrapText="1"/>
    </xf>
    <xf numFmtId="4" fontId="0" fillId="0" borderId="0" xfId="0" applyNumberFormat="1" applyAlignment="1">
      <alignment wrapText="1"/>
    </xf>
    <xf numFmtId="164" fontId="0" fillId="0" borderId="0" xfId="1" applyNumberFormat="1" applyFont="1" applyAlignment="1">
      <alignment wrapText="1"/>
    </xf>
    <xf numFmtId="0" fontId="0" fillId="0" borderId="0" xfId="0" quotePrefix="1"/>
    <xf numFmtId="170" fontId="0" fillId="0" borderId="0" xfId="0" applyNumberFormat="1"/>
    <xf numFmtId="38" fontId="0" fillId="0" borderId="0" xfId="2" applyNumberFormat="1" applyFont="1"/>
    <xf numFmtId="40" fontId="0" fillId="0" borderId="0" xfId="2" applyNumberFormat="1" applyFont="1"/>
    <xf numFmtId="40" fontId="0" fillId="0" borderId="0" xfId="0" applyNumberFormat="1"/>
    <xf numFmtId="40" fontId="0" fillId="0" borderId="0" xfId="2" applyNumberFormat="1" applyFont="1" applyAlignment="1">
      <alignment horizontal="right"/>
    </xf>
    <xf numFmtId="44" fontId="0" fillId="0" borderId="0" xfId="2" applyFont="1" applyAlignment="1">
      <alignment wrapText="1"/>
    </xf>
    <xf numFmtId="40" fontId="0" fillId="0" borderId="0" xfId="0" applyNumberFormat="1" applyAlignment="1">
      <alignment wrapText="1"/>
    </xf>
    <xf numFmtId="40" fontId="0" fillId="0" borderId="0" xfId="0" applyNumberFormat="1" applyAlignment="1">
      <alignment horizontal="center" wrapText="1"/>
    </xf>
    <xf numFmtId="38" fontId="0" fillId="0" borderId="0" xfId="0" applyNumberFormat="1"/>
    <xf numFmtId="168" fontId="0" fillId="0" borderId="0" xfId="0" applyNumberFormat="1" applyAlignment="1">
      <alignment horizontal="right"/>
    </xf>
    <xf numFmtId="164" fontId="0" fillId="0" borderId="0" xfId="0" applyNumberForma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9999FF"/>
      <color rgb="FF66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88</xdr:col>
      <xdr:colOff>0</xdr:colOff>
      <xdr:row>124</xdr:row>
      <xdr:rowOff>57149</xdr:rowOff>
    </xdr:from>
    <xdr:to>
      <xdr:col>103</xdr:col>
      <xdr:colOff>733425</xdr:colOff>
      <xdr:row>141</xdr:row>
      <xdr:rowOff>152399</xdr:rowOff>
    </xdr:to>
    <xdr:sp macro="" textlink="">
      <xdr:nvSpPr>
        <xdr:cNvPr id="2" name="TextBox 1">
          <a:extLst>
            <a:ext uri="{FF2B5EF4-FFF2-40B4-BE49-F238E27FC236}">
              <a16:creationId xmlns:a16="http://schemas.microsoft.com/office/drawing/2014/main" id="{5FE5840D-00B7-47DC-B730-77A658F4990F}"/>
            </a:ext>
          </a:extLst>
        </xdr:cNvPr>
        <xdr:cNvSpPr txBox="1"/>
      </xdr:nvSpPr>
      <xdr:spPr>
        <a:xfrm>
          <a:off x="68665725" y="20878799"/>
          <a:ext cx="9391650" cy="2847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 on calculation of general ed needs</a:t>
          </a:r>
          <a:r>
            <a:rPr lang="en-US" sz="1100"/>
            <a:t>:</a:t>
          </a:r>
          <a:endParaRPr lang="en-US" sz="1100" b="1"/>
        </a:p>
        <a:p>
          <a:r>
            <a:rPr lang="en-US" sz="1100" b="0" u="sng"/>
            <a:t>LEAP:  Instructiona</a:t>
          </a:r>
          <a:r>
            <a:rPr lang="en-US" sz="1100" b="0" u="sng" baseline="0"/>
            <a:t>l coach, AP, TLI</a:t>
          </a:r>
          <a:r>
            <a:rPr lang="en-US" sz="1100" b="0" baseline="0"/>
            <a:t>. LEAP requirements remain in full force. WTU contract requires 1 instructional coach per school. AP dollar contribution assumed at 75% time for LEAP, TLIs at 50%. Applies to all core content teachers (math, language arts, science social studies), ECE, ELL, SPED. Use CSM ratios for instructional coach and APs and add TLIs to fill out number of team leaders needed.</a:t>
          </a:r>
        </a:p>
        <a:p>
          <a:r>
            <a:rPr lang="en-US" sz="1100" b="0" u="sng" baseline="0"/>
            <a:t>Office staff</a:t>
          </a:r>
          <a:r>
            <a:rPr lang="en-US" sz="1100" b="0" baseline="0"/>
            <a:t>: Business manager, clerk, registrar at CSM ratios</a:t>
          </a:r>
        </a:p>
        <a:p>
          <a:r>
            <a:rPr lang="en-US" sz="1100" b="0" u="sng" baseline="0"/>
            <a:t>Attendance counselors</a:t>
          </a:r>
          <a:r>
            <a:rPr lang="en-US" sz="1100" b="0" u="none" baseline="0"/>
            <a:t>:  CSM (1 per HS)</a:t>
          </a:r>
        </a:p>
        <a:p>
          <a:r>
            <a:rPr lang="en-US" sz="1100" b="0" u="sng" baseline="0"/>
            <a:t>Related arts teachers</a:t>
          </a:r>
          <a:r>
            <a:rPr lang="en-US" sz="1100" b="0" u="none" baseline="0"/>
            <a:t>:  Music, art  by need to cover general ed teacher planning periods and comply with Healthy Schools Act time requirements for physical education</a:t>
          </a:r>
        </a:p>
        <a:p>
          <a:r>
            <a:rPr lang="en-US" sz="1100" b="0" u="sng" baseline="0"/>
            <a:t>Kindergarten aide</a:t>
          </a:r>
          <a:r>
            <a:rPr lang="en-US" sz="1100" b="0" u="none" baseline="0"/>
            <a:t>:   FY22 Initial Allocations</a:t>
          </a:r>
        </a:p>
        <a:p>
          <a:r>
            <a:rPr lang="en-US" sz="1100" b="0" u="sng" baseline="0"/>
            <a:t>K12 general ed teachers</a:t>
          </a:r>
          <a:r>
            <a:rPr lang="en-US" sz="1100" b="0" u="none" baseline="0"/>
            <a:t>:  ratios of FY22 Initial Allocations applied to FY23 K-12 enrollment.  </a:t>
          </a:r>
          <a:endParaRPr lang="en-US" sz="1100" b="0" i="0" u="none" strike="noStrike" baseline="0">
            <a:solidFill>
              <a:schemeClr val="dk1"/>
            </a:solidFill>
            <a:effectLst/>
            <a:latin typeface="+mn-lt"/>
            <a:ea typeface="+mn-ea"/>
            <a:cs typeface="+mn-cs"/>
          </a:endParaRPr>
        </a:p>
        <a:p>
          <a:r>
            <a:rPr lang="en-US" sz="1100" b="0" i="0" u="sng" strike="noStrike" baseline="0">
              <a:solidFill>
                <a:schemeClr val="dk1"/>
              </a:solidFill>
              <a:effectLst/>
              <a:latin typeface="+mn-lt"/>
              <a:ea typeface="+mn-ea"/>
              <a:cs typeface="+mn-cs"/>
            </a:rPr>
            <a:t>TLI teachers</a:t>
          </a:r>
          <a:r>
            <a:rPr lang="en-US" sz="1100" b="0" i="0" u="none" strike="noStrike" baseline="0">
              <a:solidFill>
                <a:schemeClr val="dk1"/>
              </a:solidFill>
              <a:effectLst/>
              <a:latin typeface="+mn-lt"/>
              <a:ea typeface="+mn-ea"/>
              <a:cs typeface="+mn-cs"/>
            </a:rPr>
            <a:t>:  team leaders needed assuming APs and instructional coaches cover maximum number of teams. </a:t>
          </a:r>
        </a:p>
        <a:p>
          <a:r>
            <a:rPr lang="en-US" sz="1100" b="0" u="sng" baseline="0"/>
            <a:t>Athletic/activities coordinators</a:t>
          </a:r>
          <a:r>
            <a:rPr lang="en-US" sz="1100" b="0" u="none" baseline="0"/>
            <a:t>:  Use CSM (1 per HS)</a:t>
          </a:r>
        </a:p>
        <a:p>
          <a:endParaRPr lang="en-US" sz="1100" b="0" u="none" baseline="0"/>
        </a:p>
        <a:p>
          <a:r>
            <a:rPr lang="en-US" sz="1100" b="1" u="none" baseline="0"/>
            <a:t>Flexible funds available:</a:t>
          </a:r>
          <a:r>
            <a:rPr lang="en-US" sz="1100" b="0" u="none" baseline="0"/>
            <a:t>  sum of SBB Base Weight, EC Weight, Specialty Funds and all Stability Funds.  Other SBB weights are needed to cover required services for these subgroups.</a:t>
          </a:r>
          <a:endParaRPr lang="en-US" sz="1100" b="1" u="none" baseline="0"/>
        </a:p>
        <a:p>
          <a:endParaRPr lang="en-US" sz="1100" b="0" u="none" baseline="0"/>
        </a:p>
        <a:p>
          <a:r>
            <a:rPr lang="en-US" sz="1100" b="1" u="none" baseline="0"/>
            <a:t>Note discontinuance</a:t>
          </a:r>
          <a:r>
            <a:rPr lang="en-US" sz="1100" b="0" u="none" baseline="0"/>
            <a:t>: </a:t>
          </a:r>
        </a:p>
        <a:p>
          <a:r>
            <a:rPr lang="en-US" sz="1100" b="0" u="none" baseline="0"/>
            <a:t>Middle grade extra teachers, exposures, enrichment, social-emotional support </a:t>
          </a:r>
        </a:p>
        <a:p>
          <a:r>
            <a:rPr lang="en-US" sz="1100" b="0" u="none" baseline="0"/>
            <a:t>Schoolwide Enrichment Model</a:t>
          </a:r>
          <a:endParaRPr lang="en-US" sz="1100" b="0" u="sng"/>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88</xdr:col>
      <xdr:colOff>0</xdr:colOff>
      <xdr:row>124</xdr:row>
      <xdr:rowOff>57149</xdr:rowOff>
    </xdr:from>
    <xdr:to>
      <xdr:col>101</xdr:col>
      <xdr:colOff>733425</xdr:colOff>
      <xdr:row>141</xdr:row>
      <xdr:rowOff>152399</xdr:rowOff>
    </xdr:to>
    <xdr:sp macro="" textlink="">
      <xdr:nvSpPr>
        <xdr:cNvPr id="2" name="TextBox 1">
          <a:extLst>
            <a:ext uri="{FF2B5EF4-FFF2-40B4-BE49-F238E27FC236}">
              <a16:creationId xmlns:a16="http://schemas.microsoft.com/office/drawing/2014/main" id="{60B906FF-8E29-4CD0-AA7B-66308804EDC6}"/>
            </a:ext>
          </a:extLst>
        </xdr:cNvPr>
        <xdr:cNvSpPr txBox="1"/>
      </xdr:nvSpPr>
      <xdr:spPr>
        <a:xfrm>
          <a:off x="69503925" y="20878799"/>
          <a:ext cx="11153775" cy="2847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 on calculation of general ed needs</a:t>
          </a:r>
          <a:r>
            <a:rPr lang="en-US" sz="1100"/>
            <a:t>:</a:t>
          </a:r>
          <a:endParaRPr lang="en-US" sz="1100" b="1"/>
        </a:p>
        <a:p>
          <a:r>
            <a:rPr lang="en-US" sz="1100" b="0" u="sng"/>
            <a:t>LEAP:  Instructiona</a:t>
          </a:r>
          <a:r>
            <a:rPr lang="en-US" sz="1100" b="0" u="sng" baseline="0"/>
            <a:t>l coach, AP, TLI</a:t>
          </a:r>
          <a:r>
            <a:rPr lang="en-US" sz="1100" b="0" baseline="0"/>
            <a:t>. LEAP requirements remain in full force. WTU contract requires 1 instructional coach per school. APs assumed at 75% time for LEAP, TLIs at 50%. Applies to all core content teachers (math, language arts, science social studies), ECE, ELL, SPED. Use FY22 Submitted Budgets without ESSER.</a:t>
          </a:r>
        </a:p>
        <a:p>
          <a:r>
            <a:rPr lang="en-US" sz="1100" b="0" u="sng" baseline="0"/>
            <a:t>Office staff</a:t>
          </a:r>
          <a:r>
            <a:rPr lang="en-US" sz="1100" b="0" baseline="0"/>
            <a:t>: Use CSM ratios</a:t>
          </a:r>
        </a:p>
        <a:p>
          <a:r>
            <a:rPr lang="en-US" sz="1100" b="0" u="sng" baseline="0"/>
            <a:t>Attendance counselors</a:t>
          </a:r>
          <a:r>
            <a:rPr lang="en-US" sz="1100" b="0" u="none" baseline="0"/>
            <a:t>:  Use CSM (1 per HS)</a:t>
          </a:r>
        </a:p>
        <a:p>
          <a:r>
            <a:rPr lang="en-US" sz="1100" b="0" u="sng" baseline="0"/>
            <a:t>Related arts teachers</a:t>
          </a:r>
          <a:r>
            <a:rPr lang="en-US" sz="1100" b="0" u="none" baseline="0"/>
            <a:t>:  Calculate by general ed teacher planning period coverage</a:t>
          </a:r>
        </a:p>
        <a:p>
          <a:r>
            <a:rPr lang="en-US" sz="1100" b="0" u="sng" baseline="0"/>
            <a:t>Kindergarten aide</a:t>
          </a:r>
          <a:r>
            <a:rPr lang="en-US" sz="1100" b="0" u="none" baseline="0"/>
            <a:t>:  Use FY22 Initial Allocations</a:t>
          </a:r>
        </a:p>
        <a:p>
          <a:r>
            <a:rPr lang="en-US" sz="1100" b="0" u="sng" baseline="0"/>
            <a:t>K12 general ed teachers</a:t>
          </a:r>
          <a:r>
            <a:rPr lang="en-US" sz="1100" b="0" u="none" baseline="0"/>
            <a:t>:  Use FY22 Initial Allocations</a:t>
          </a:r>
        </a:p>
        <a:p>
          <a:r>
            <a:rPr lang="en-US" sz="1100" b="0" u="sng" baseline="0"/>
            <a:t>Athletic/activities coordinators</a:t>
          </a:r>
          <a:r>
            <a:rPr lang="en-US" sz="1100" b="0" u="none" baseline="0"/>
            <a:t>:  Use CSM (1 per HS)</a:t>
          </a:r>
          <a:endParaRPr lang="en-US" sz="1100" b="0" u="sng" baseline="0"/>
        </a:p>
        <a:p>
          <a:endParaRPr lang="en-US" sz="1100" b="0" u="none" baseline="0"/>
        </a:p>
        <a:p>
          <a:r>
            <a:rPr lang="en-US" sz="1100" b="1" u="none" baseline="0"/>
            <a:t>Note discontinuance</a:t>
          </a:r>
          <a:r>
            <a:rPr lang="en-US" sz="1100" b="0" u="none" baseline="0"/>
            <a:t>: </a:t>
          </a:r>
        </a:p>
        <a:p>
          <a:r>
            <a:rPr lang="en-US" sz="1100" b="0" u="none" baseline="0"/>
            <a:t>Middle grade extra teachers, exposures, enrichment, social-emotional support </a:t>
          </a:r>
        </a:p>
        <a:p>
          <a:r>
            <a:rPr lang="en-US" sz="1100" b="0" u="none" baseline="0"/>
            <a:t>Schoolwide Enrichment Model</a:t>
          </a:r>
          <a:endParaRPr lang="en-US" sz="1100" b="0" u="sng"/>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105834</xdr:colOff>
      <xdr:row>124</xdr:row>
      <xdr:rowOff>148163</xdr:rowOff>
    </xdr:from>
    <xdr:to>
      <xdr:col>4</xdr:col>
      <xdr:colOff>560918</xdr:colOff>
      <xdr:row>157</xdr:row>
      <xdr:rowOff>95250</xdr:rowOff>
    </xdr:to>
    <xdr:sp macro="" textlink="">
      <xdr:nvSpPr>
        <xdr:cNvPr id="2" name="TextBox 1">
          <a:extLst>
            <a:ext uri="{FF2B5EF4-FFF2-40B4-BE49-F238E27FC236}">
              <a16:creationId xmlns:a16="http://schemas.microsoft.com/office/drawing/2014/main" id="{C14A4F93-AE44-4DA2-8BE1-49679FB4AABB}"/>
            </a:ext>
          </a:extLst>
        </xdr:cNvPr>
        <xdr:cNvSpPr txBox="1"/>
      </xdr:nvSpPr>
      <xdr:spPr>
        <a:xfrm>
          <a:off x="105834" y="20960288"/>
          <a:ext cx="3245909" cy="52906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General</a:t>
          </a:r>
          <a:r>
            <a:rPr lang="en-US" sz="1100" b="1" baseline="0"/>
            <a:t> Education</a:t>
          </a:r>
          <a:r>
            <a:rPr lang="en-US" sz="1100" baseline="0"/>
            <a:t>:  Excludes federal funds and funding designated for Special Education, English Language Learners, and At-risk students.  These columns are headed in white or yellow.  Total and per pupil general education funding are shown at the far right of the spreadsheet, columns EC-ED.</a:t>
          </a:r>
        </a:p>
        <a:p>
          <a:endParaRPr lang="en-US" sz="1100" baseline="0"/>
        </a:p>
        <a:p>
          <a:r>
            <a:rPr lang="en-US" sz="1100" b="1" baseline="0"/>
            <a:t>At-Risk </a:t>
          </a:r>
          <a:r>
            <a:rPr lang="en-US" sz="1100" b="0" baseline="0"/>
            <a:t>funds diverted to General Education are those unaccounted for after calculating those used for services to at-risk students.  At-risk services are the sum of (1) staff and program funds serving at-risk students and (2) amounts/ratios above and beyond those provided for all students as shown in the CSM allocation sheets, </a:t>
          </a:r>
          <a:r>
            <a:rPr lang="en-US" sz="1100" b="1" baseline="0"/>
            <a:t>https://dcpsbudget.com/budget-model/.  </a:t>
          </a:r>
          <a:r>
            <a:rPr lang="en-US" sz="1100" b="0" baseline="0"/>
            <a:t>These columns are headed in green or brown.  In several instances, these consume more than the at-risk allocation, in which case the amount shows up as a negative.  See columns DI-DM.</a:t>
          </a:r>
        </a:p>
        <a:p>
          <a:endParaRPr lang="en-US" sz="1100" b="0" baseline="0"/>
        </a:p>
        <a:p>
          <a:r>
            <a:rPr lang="en-US" sz="1100" b="0" baseline="0"/>
            <a:t>Column DE "Delta" is the difference between the total budgets in the pdf Initial Allocation worksheets and the totals derived from the DCPS Budget Data Visualization Key Categories, https://dcpsbudget.com/dashboards/fy22-initial-allocations/. </a:t>
          </a:r>
        </a:p>
        <a:p>
          <a:endParaRPr lang="en-US" sz="1100" b="0" baseline="0"/>
        </a:p>
        <a:p>
          <a:r>
            <a:rPr lang="en-US" sz="1100" b="0" baseline="0"/>
            <a:t>Columns CY-DD contains entries solely for DCPS programs housed at the DC Jail and the Youth Services, which are resourced differently from local schools.</a:t>
          </a:r>
        </a:p>
        <a:p>
          <a:endParaRPr lang="en-US" sz="1100" b="1" baseline="0"/>
        </a:p>
        <a:p>
          <a:r>
            <a:rPr lang="en-US" sz="1100" b="1" baseline="0"/>
            <a:t>Source:  </a:t>
          </a:r>
          <a:r>
            <a:rPr lang="en-US" sz="1100" b="0" baseline="0">
              <a:solidFill>
                <a:schemeClr val="dk1"/>
              </a:solidFill>
              <a:effectLst/>
              <a:latin typeface="+mn-lt"/>
              <a:ea typeface="+mn-ea"/>
              <a:cs typeface="+mn-cs"/>
            </a:rPr>
            <a:t>FY22 DCPS Initial Allocation Worksheets, https://dcpsbudget.com.</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105834</xdr:colOff>
      <xdr:row>124</xdr:row>
      <xdr:rowOff>148163</xdr:rowOff>
    </xdr:from>
    <xdr:to>
      <xdr:col>4</xdr:col>
      <xdr:colOff>560918</xdr:colOff>
      <xdr:row>157</xdr:row>
      <xdr:rowOff>95250</xdr:rowOff>
    </xdr:to>
    <xdr:sp macro="" textlink="">
      <xdr:nvSpPr>
        <xdr:cNvPr id="2" name="TextBox 1">
          <a:extLst>
            <a:ext uri="{FF2B5EF4-FFF2-40B4-BE49-F238E27FC236}">
              <a16:creationId xmlns:a16="http://schemas.microsoft.com/office/drawing/2014/main" id="{F52CC6FF-41D2-4B27-966C-37595E71ACBB}"/>
            </a:ext>
          </a:extLst>
        </xdr:cNvPr>
        <xdr:cNvSpPr txBox="1"/>
      </xdr:nvSpPr>
      <xdr:spPr>
        <a:xfrm>
          <a:off x="105834" y="20064938"/>
          <a:ext cx="2560109" cy="52906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General</a:t>
          </a:r>
          <a:r>
            <a:rPr lang="en-US" sz="1100" b="1" baseline="0"/>
            <a:t> Education</a:t>
          </a:r>
          <a:r>
            <a:rPr lang="en-US" sz="1100" baseline="0"/>
            <a:t>:  Excludes federal funds and funding designated for Special Education, English Language Learners, and At-risk students.  These columns are headed in white or yellow.  Total and per pupil general education funding are shown at the far right of the spreadsheet, columns EC-ED.</a:t>
          </a:r>
        </a:p>
        <a:p>
          <a:endParaRPr lang="en-US" sz="1100" baseline="0"/>
        </a:p>
        <a:p>
          <a:r>
            <a:rPr lang="en-US" sz="1100" b="1" baseline="0"/>
            <a:t>At-Risk </a:t>
          </a:r>
          <a:r>
            <a:rPr lang="en-US" sz="1100" b="0" baseline="0"/>
            <a:t>funds diverted to General Education are those unaccounted for after calculating those used for services to at-risk students.  At-risk services are the sum of (1) staff and program funds serving at-risk students and (2) amounts/ratios above and beyond those provided for all students as shown in the CSM allocation sheets, </a:t>
          </a:r>
          <a:r>
            <a:rPr lang="en-US" sz="1100" b="1" baseline="0"/>
            <a:t>https://dcpsbudget.com/budget-model/.  </a:t>
          </a:r>
          <a:r>
            <a:rPr lang="en-US" sz="1100" b="0" baseline="0"/>
            <a:t>These columns are headed in green or brown.  In several instances, these consume more than the at-risk allocation, in which case the amount shows up as a negative.  See columns DI-DM.</a:t>
          </a:r>
        </a:p>
        <a:p>
          <a:endParaRPr lang="en-US" sz="1100" b="0" baseline="0"/>
        </a:p>
        <a:p>
          <a:r>
            <a:rPr lang="en-US" sz="1100" b="0" baseline="0"/>
            <a:t>Column DE "Delta" is the difference between the total budgets in the pdf Initial Allocation worksheets and the totals derived from the DCPS Budget Data Visualization Key Categories, https://dcpsbudget.com/dashboards/fy22-initial-allocations/. </a:t>
          </a:r>
        </a:p>
        <a:p>
          <a:endParaRPr lang="en-US" sz="1100" b="0" baseline="0"/>
        </a:p>
        <a:p>
          <a:r>
            <a:rPr lang="en-US" sz="1100" b="0" baseline="0"/>
            <a:t>Columns CY-DD contains entries solely for DCPS programs housed at the DC Jail and the Youth Services, which are resourced differently from local schools.</a:t>
          </a:r>
        </a:p>
        <a:p>
          <a:endParaRPr lang="en-US" sz="1100" b="1" baseline="0"/>
        </a:p>
        <a:p>
          <a:r>
            <a:rPr lang="en-US" sz="1100" b="1" baseline="0"/>
            <a:t>Source:  </a:t>
          </a:r>
          <a:r>
            <a:rPr lang="en-US" sz="1100" b="0" baseline="0">
              <a:solidFill>
                <a:schemeClr val="dk1"/>
              </a:solidFill>
              <a:effectLst/>
              <a:latin typeface="+mn-lt"/>
              <a:ea typeface="+mn-ea"/>
              <a:cs typeface="+mn-cs"/>
            </a:rPr>
            <a:t>FY22 DCPS Initial Allocation Worksheets, https://dcpsbudget.com.</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142875</xdr:colOff>
      <xdr:row>119</xdr:row>
      <xdr:rowOff>19050</xdr:rowOff>
    </xdr:from>
    <xdr:to>
      <xdr:col>11</xdr:col>
      <xdr:colOff>504825</xdr:colOff>
      <xdr:row>125</xdr:row>
      <xdr:rowOff>0</xdr:rowOff>
    </xdr:to>
    <xdr:sp macro="" textlink="">
      <xdr:nvSpPr>
        <xdr:cNvPr id="2" name="TextBox 1">
          <a:extLst>
            <a:ext uri="{FF2B5EF4-FFF2-40B4-BE49-F238E27FC236}">
              <a16:creationId xmlns:a16="http://schemas.microsoft.com/office/drawing/2014/main" id="{BE51EE2F-5587-4607-A793-70F01C25DA9C}"/>
            </a:ext>
          </a:extLst>
        </xdr:cNvPr>
        <xdr:cNvSpPr txBox="1"/>
      </xdr:nvSpPr>
      <xdr:spPr>
        <a:xfrm>
          <a:off x="561975" y="1962150"/>
          <a:ext cx="447675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*Assumed</a:t>
          </a:r>
          <a:r>
            <a:rPr lang="en-US" sz="1100" baseline="0"/>
            <a:t> pupil/teacher ratio K12 general education</a:t>
          </a:r>
        </a:p>
        <a:p>
          <a:r>
            <a:rPr lang="en-US" sz="1100"/>
            <a:t>ES: &lt;250: 17/1    250-350 19/1    &gt;350 20/1</a:t>
          </a:r>
          <a:r>
            <a:rPr lang="en-US" sz="1100" b="0" i="0" u="none" strike="noStrike">
              <a:solidFill>
                <a:schemeClr val="dk1"/>
              </a:solidFill>
              <a:effectLst/>
              <a:latin typeface="+mn-lt"/>
              <a:ea typeface="+mn-ea"/>
              <a:cs typeface="+mn-cs"/>
            </a:rPr>
            <a:t>17</a:t>
          </a:r>
          <a:r>
            <a:rPr lang="en-US"/>
            <a:t> </a:t>
          </a:r>
        </a:p>
        <a:p>
          <a:r>
            <a:rPr lang="en-US" sz="1100"/>
            <a:t>EC: &lt;300: 16/1    300-400 18/1    &gt;500 19/1</a:t>
          </a:r>
          <a:r>
            <a:rPr lang="en-US" sz="1100" b="0" i="0" u="none" strike="noStrike">
              <a:solidFill>
                <a:schemeClr val="dk1"/>
              </a:solidFill>
              <a:effectLst/>
              <a:latin typeface="+mn-lt"/>
              <a:ea typeface="+mn-ea"/>
              <a:cs typeface="+mn-cs"/>
            </a:rPr>
            <a:t>18</a:t>
          </a:r>
          <a:r>
            <a:rPr lang="en-US"/>
            <a:t> </a:t>
          </a:r>
        </a:p>
        <a:p>
          <a:r>
            <a:rPr lang="en-US" sz="1100"/>
            <a:t>MS: 19/1</a:t>
          </a:r>
        </a:p>
        <a:p>
          <a:r>
            <a:rPr lang="en-US" sz="1100"/>
            <a:t>HS:</a:t>
          </a:r>
          <a:r>
            <a:rPr lang="en-US" sz="1100" baseline="0"/>
            <a:t>  &lt;200  12/1    300-750 17/1  750-900  18/1  &gt;1000  20/1</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L-FY23-Initial-Allocations%20option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y/Documents/Budget-local%20schools/LSB%20FY%202022/Analyses/FY22%20DCPS%20local%20school%20budgets%20analysi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y/Documents/Budget-local%20schools/LSB%20FY%202022/Analyses/ML-C4DC%20Submitted%20Budget%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 $$"/>
      <sheetName val="Gen edxLevel ESSER"/>
      <sheetName val="Gen edxLevel"/>
      <sheetName val="Gen edxLevelNoStab"/>
      <sheetName val="Gen edxLevel No ECE"/>
      <sheetName val="pivot"/>
      <sheetName val="Init Allo database"/>
    </sheetNames>
    <sheetDataSet>
      <sheetData sheetId="0">
        <row r="3">
          <cell r="B3">
            <v>202</v>
          </cell>
          <cell r="C3">
            <v>7</v>
          </cell>
          <cell r="D3" t="str">
            <v>ES</v>
          </cell>
          <cell r="E3">
            <v>204</v>
          </cell>
          <cell r="F3">
            <v>-22</v>
          </cell>
          <cell r="G3">
            <v>153</v>
          </cell>
          <cell r="H3">
            <v>177</v>
          </cell>
          <cell r="I3">
            <v>0.86764705882352944</v>
          </cell>
          <cell r="J3">
            <v>32.998158482142856</v>
          </cell>
          <cell r="K3">
            <v>5.9996651785714281</v>
          </cell>
          <cell r="L3">
            <v>198942.26</v>
          </cell>
          <cell r="O3">
            <v>71961.03</v>
          </cell>
          <cell r="P3">
            <v>5561.1</v>
          </cell>
          <cell r="Q3">
            <v>79024.509999999995</v>
          </cell>
          <cell r="R3">
            <v>60058.83</v>
          </cell>
          <cell r="S3">
            <v>51187.26</v>
          </cell>
          <cell r="T3">
            <v>113832.45</v>
          </cell>
          <cell r="U3">
            <v>227664.89</v>
          </cell>
          <cell r="W3">
            <v>227664.89</v>
          </cell>
          <cell r="X3">
            <v>156665.71</v>
          </cell>
          <cell r="Y3">
            <v>91386.9</v>
          </cell>
          <cell r="AG3">
            <v>913869</v>
          </cell>
          <cell r="AH3">
            <v>66300</v>
          </cell>
          <cell r="AI3">
            <v>113832.45</v>
          </cell>
          <cell r="AJ3">
            <v>113832.45</v>
          </cell>
          <cell r="AK3">
            <v>341497.34</v>
          </cell>
          <cell r="AL3">
            <v>113832.45</v>
          </cell>
          <cell r="AM3">
            <v>39166.43</v>
          </cell>
          <cell r="AO3">
            <v>57558.06</v>
          </cell>
          <cell r="AQ3">
            <v>59132.7</v>
          </cell>
          <cell r="AT3">
            <v>30734.76</v>
          </cell>
          <cell r="AV3">
            <v>10751.4</v>
          </cell>
          <cell r="AW3">
            <v>6800</v>
          </cell>
          <cell r="AX3">
            <v>6800</v>
          </cell>
          <cell r="AY3">
            <v>10200</v>
          </cell>
          <cell r="BA3">
            <v>13600</v>
          </cell>
          <cell r="BC3">
            <v>13600</v>
          </cell>
          <cell r="BD3">
            <v>110400.96000000001</v>
          </cell>
          <cell r="BE3">
            <v>1778.29</v>
          </cell>
          <cell r="BV3">
            <v>15325</v>
          </cell>
          <cell r="CB3">
            <v>474803.21</v>
          </cell>
          <cell r="CC3">
            <v>113964.84</v>
          </cell>
          <cell r="CD3">
            <v>191148.65</v>
          </cell>
          <cell r="CE3">
            <v>48742.239999999998</v>
          </cell>
          <cell r="CF3">
            <v>230513.44</v>
          </cell>
        </row>
        <row r="4">
          <cell r="B4">
            <v>203</v>
          </cell>
          <cell r="C4">
            <v>6</v>
          </cell>
          <cell r="D4" t="str">
            <v>ES</v>
          </cell>
          <cell r="E4">
            <v>360</v>
          </cell>
          <cell r="F4">
            <v>25</v>
          </cell>
          <cell r="G4">
            <v>288</v>
          </cell>
          <cell r="H4">
            <v>223</v>
          </cell>
          <cell r="I4">
            <v>0.61944444444444446</v>
          </cell>
          <cell r="J4">
            <v>57.99676339285714</v>
          </cell>
          <cell r="K4">
            <v>7.9995535714285717</v>
          </cell>
          <cell r="L4">
            <v>198942.26</v>
          </cell>
          <cell r="O4">
            <v>71961.03</v>
          </cell>
          <cell r="P4">
            <v>6183.55</v>
          </cell>
          <cell r="Q4">
            <v>79024.509999999995</v>
          </cell>
          <cell r="R4">
            <v>60058.83</v>
          </cell>
          <cell r="S4">
            <v>102374.53</v>
          </cell>
          <cell r="T4">
            <v>113832.45</v>
          </cell>
          <cell r="U4">
            <v>227664.89</v>
          </cell>
          <cell r="V4">
            <v>113832.45</v>
          </cell>
          <cell r="W4">
            <v>227664.89</v>
          </cell>
          <cell r="X4">
            <v>195832.13</v>
          </cell>
          <cell r="Y4">
            <v>129016.8</v>
          </cell>
          <cell r="AG4">
            <v>1720224</v>
          </cell>
          <cell r="AH4">
            <v>117000</v>
          </cell>
          <cell r="AI4">
            <v>113832.45</v>
          </cell>
          <cell r="AJ4">
            <v>170748.67</v>
          </cell>
          <cell r="AK4">
            <v>455329.78</v>
          </cell>
          <cell r="AL4">
            <v>455329.78</v>
          </cell>
          <cell r="AM4">
            <v>234998.56</v>
          </cell>
          <cell r="AQ4">
            <v>103930.2</v>
          </cell>
          <cell r="AT4">
            <v>40979.68</v>
          </cell>
          <cell r="AV4">
            <v>14335.2</v>
          </cell>
          <cell r="AW4">
            <v>13600</v>
          </cell>
          <cell r="AX4">
            <v>20400</v>
          </cell>
          <cell r="AY4">
            <v>10200</v>
          </cell>
          <cell r="BA4">
            <v>13600</v>
          </cell>
          <cell r="BC4">
            <v>20400</v>
          </cell>
          <cell r="BD4">
            <v>166250.85999999999</v>
          </cell>
          <cell r="BE4">
            <v>2677.89</v>
          </cell>
          <cell r="CB4">
            <v>598198.39</v>
          </cell>
          <cell r="CC4">
            <v>94373.4</v>
          </cell>
        </row>
        <row r="5">
          <cell r="B5">
            <v>450</v>
          </cell>
          <cell r="C5">
            <v>8</v>
          </cell>
          <cell r="D5" t="str">
            <v>HS</v>
          </cell>
          <cell r="E5">
            <v>341</v>
          </cell>
          <cell r="F5">
            <v>-16</v>
          </cell>
          <cell r="G5">
            <v>341</v>
          </cell>
          <cell r="H5">
            <v>285</v>
          </cell>
          <cell r="I5">
            <v>0.83577712609970678</v>
          </cell>
          <cell r="J5">
            <v>92.994810267857147</v>
          </cell>
          <cell r="K5">
            <v>4.9997209821428568</v>
          </cell>
          <cell r="L5">
            <v>198942.26</v>
          </cell>
          <cell r="N5">
            <v>192637.4</v>
          </cell>
          <cell r="O5">
            <v>71961.03</v>
          </cell>
          <cell r="P5">
            <v>16254.33</v>
          </cell>
          <cell r="Q5">
            <v>79024.509999999995</v>
          </cell>
          <cell r="R5">
            <v>60058.83</v>
          </cell>
          <cell r="S5">
            <v>204749.06</v>
          </cell>
          <cell r="T5">
            <v>113832.45</v>
          </cell>
          <cell r="AC5">
            <v>227664.89</v>
          </cell>
          <cell r="AG5">
            <v>2036793</v>
          </cell>
          <cell r="AH5">
            <v>202213</v>
          </cell>
          <cell r="AI5">
            <v>113832.45</v>
          </cell>
          <cell r="AJ5">
            <v>455329.78</v>
          </cell>
          <cell r="AK5">
            <v>682994.68</v>
          </cell>
          <cell r="AL5">
            <v>910659.57</v>
          </cell>
          <cell r="AM5">
            <v>391664.27</v>
          </cell>
          <cell r="AO5">
            <v>115116.11</v>
          </cell>
          <cell r="AQ5">
            <v>166646.70000000001</v>
          </cell>
          <cell r="AT5">
            <v>26181.46</v>
          </cell>
          <cell r="AV5">
            <v>8959.5</v>
          </cell>
          <cell r="AX5" t="str">
            <v>`</v>
          </cell>
          <cell r="AZ5">
            <v>60000</v>
          </cell>
          <cell r="BD5">
            <v>184542.78</v>
          </cell>
          <cell r="BE5">
            <v>2972.53</v>
          </cell>
          <cell r="BH5">
            <v>158559.82</v>
          </cell>
          <cell r="BI5">
            <v>9336.09</v>
          </cell>
          <cell r="BJ5">
            <v>25880</v>
          </cell>
          <cell r="BK5">
            <v>36800</v>
          </cell>
          <cell r="BX5">
            <v>295129</v>
          </cell>
          <cell r="BY5">
            <v>147878.60999999999</v>
          </cell>
          <cell r="CB5">
            <v>854377.52</v>
          </cell>
          <cell r="CC5">
            <v>232827.54</v>
          </cell>
          <cell r="CD5">
            <v>380968.54</v>
          </cell>
          <cell r="CE5">
            <v>110436.07</v>
          </cell>
        </row>
        <row r="6">
          <cell r="B6">
            <v>452</v>
          </cell>
          <cell r="C6">
            <v>8</v>
          </cell>
          <cell r="D6" t="str">
            <v>HS</v>
          </cell>
          <cell r="E6">
            <v>672</v>
          </cell>
          <cell r="F6">
            <v>-26</v>
          </cell>
          <cell r="G6">
            <v>672</v>
          </cell>
          <cell r="H6">
            <v>572</v>
          </cell>
          <cell r="I6">
            <v>0.85119047619047616</v>
          </cell>
          <cell r="J6">
            <v>162.99090401785716</v>
          </cell>
          <cell r="K6">
            <v>10.999386160714286</v>
          </cell>
          <cell r="L6">
            <v>198942.26</v>
          </cell>
          <cell r="N6">
            <v>385274.79</v>
          </cell>
          <cell r="O6">
            <v>71961.03</v>
          </cell>
          <cell r="P6">
            <v>27396.65</v>
          </cell>
          <cell r="Q6">
            <v>79024.509999999995</v>
          </cell>
          <cell r="R6">
            <v>60058.83</v>
          </cell>
          <cell r="S6">
            <v>460685.38</v>
          </cell>
          <cell r="T6">
            <v>113832.45</v>
          </cell>
          <cell r="AC6">
            <v>569162.23</v>
          </cell>
          <cell r="AD6">
            <v>85909.9</v>
          </cell>
          <cell r="AG6">
            <v>4013856</v>
          </cell>
          <cell r="AH6">
            <v>398496</v>
          </cell>
          <cell r="AI6">
            <v>227664.89</v>
          </cell>
          <cell r="AJ6">
            <v>569162.23</v>
          </cell>
          <cell r="AK6">
            <v>1252156.9099999999</v>
          </cell>
          <cell r="AL6">
            <v>910659.57</v>
          </cell>
          <cell r="AM6">
            <v>391664.27</v>
          </cell>
          <cell r="AO6">
            <v>115116.11</v>
          </cell>
          <cell r="AQ6">
            <v>292079.7</v>
          </cell>
          <cell r="AS6">
            <v>113832.45</v>
          </cell>
          <cell r="AV6">
            <v>19710.900000000001</v>
          </cell>
          <cell r="AZ6">
            <v>70000</v>
          </cell>
          <cell r="BD6">
            <v>363673.75</v>
          </cell>
          <cell r="BE6">
            <v>5857.89</v>
          </cell>
          <cell r="BH6">
            <v>158559.82</v>
          </cell>
          <cell r="BI6">
            <v>23216.09</v>
          </cell>
          <cell r="BJ6">
            <v>22000</v>
          </cell>
          <cell r="BK6">
            <v>50800</v>
          </cell>
          <cell r="BR6">
            <v>113832.45</v>
          </cell>
          <cell r="BT6">
            <v>140941</v>
          </cell>
          <cell r="BU6">
            <v>5000</v>
          </cell>
          <cell r="BX6">
            <v>132201</v>
          </cell>
          <cell r="BY6">
            <v>295757.21000000002</v>
          </cell>
          <cell r="BZ6">
            <v>119483.41</v>
          </cell>
          <cell r="CB6">
            <v>1714120.06</v>
          </cell>
          <cell r="CC6">
            <v>483574.08</v>
          </cell>
        </row>
        <row r="7">
          <cell r="B7">
            <v>462</v>
          </cell>
          <cell r="C7">
            <v>8</v>
          </cell>
          <cell r="D7" t="str">
            <v>HS</v>
          </cell>
          <cell r="E7">
            <v>441</v>
          </cell>
          <cell r="F7">
            <v>-28</v>
          </cell>
          <cell r="G7">
            <v>441</v>
          </cell>
          <cell r="H7">
            <v>241</v>
          </cell>
          <cell r="I7">
            <v>0.54648526077097503</v>
          </cell>
          <cell r="J7">
            <v>69.99609375</v>
          </cell>
          <cell r="K7">
            <v>1.9998883928571429</v>
          </cell>
          <cell r="L7">
            <v>198942.26</v>
          </cell>
          <cell r="N7">
            <v>128424.93</v>
          </cell>
          <cell r="O7">
            <v>71961.03</v>
          </cell>
          <cell r="P7">
            <v>7706</v>
          </cell>
          <cell r="Q7">
            <v>79024.509999999995</v>
          </cell>
          <cell r="R7">
            <v>60058.83</v>
          </cell>
          <cell r="S7">
            <v>102374.53</v>
          </cell>
          <cell r="T7">
            <v>113832.45</v>
          </cell>
          <cell r="AC7">
            <v>227664.89</v>
          </cell>
          <cell r="AD7">
            <v>257729.7</v>
          </cell>
          <cell r="AG7">
            <v>2634093</v>
          </cell>
          <cell r="AH7">
            <v>261513</v>
          </cell>
          <cell r="AI7">
            <v>113832.45</v>
          </cell>
          <cell r="AJ7">
            <v>341497.34</v>
          </cell>
          <cell r="AK7">
            <v>796827.12</v>
          </cell>
          <cell r="AL7">
            <v>227664.89</v>
          </cell>
          <cell r="AM7">
            <v>78332.850000000006</v>
          </cell>
          <cell r="AO7">
            <v>57558.06</v>
          </cell>
          <cell r="AQ7">
            <v>125433</v>
          </cell>
          <cell r="AT7">
            <v>10244.92</v>
          </cell>
          <cell r="AV7">
            <v>3583.8</v>
          </cell>
          <cell r="AZ7">
            <v>70000</v>
          </cell>
          <cell r="BF7">
            <v>11025</v>
          </cell>
          <cell r="CB7">
            <v>808104.33</v>
          </cell>
          <cell r="CC7">
            <v>77171.16</v>
          </cell>
        </row>
        <row r="8">
          <cell r="B8">
            <v>204</v>
          </cell>
          <cell r="C8">
            <v>1</v>
          </cell>
          <cell r="D8" t="str">
            <v>ES</v>
          </cell>
          <cell r="E8">
            <v>711</v>
          </cell>
          <cell r="F8">
            <v>49</v>
          </cell>
          <cell r="G8">
            <v>609</v>
          </cell>
          <cell r="H8">
            <v>194</v>
          </cell>
          <cell r="I8">
            <v>0.27285513361462727</v>
          </cell>
          <cell r="J8">
            <v>98.994475446428581</v>
          </cell>
          <cell r="K8">
            <v>363.97968750000001</v>
          </cell>
          <cell r="L8">
            <v>198942.26</v>
          </cell>
          <cell r="O8">
            <v>71961.03</v>
          </cell>
          <cell r="P8">
            <v>9077.5499999999993</v>
          </cell>
          <cell r="Q8">
            <v>79024.509999999995</v>
          </cell>
          <cell r="R8">
            <v>60058.83</v>
          </cell>
          <cell r="S8">
            <v>204749.06</v>
          </cell>
          <cell r="T8">
            <v>113832.45</v>
          </cell>
          <cell r="U8">
            <v>341497.34</v>
          </cell>
          <cell r="W8">
            <v>341497.34</v>
          </cell>
          <cell r="X8">
            <v>234998.56</v>
          </cell>
          <cell r="Y8">
            <v>182773.8</v>
          </cell>
          <cell r="AG8">
            <v>3637557</v>
          </cell>
          <cell r="AH8">
            <v>231075</v>
          </cell>
          <cell r="AI8">
            <v>113832.45</v>
          </cell>
          <cell r="AJ8">
            <v>227664.89</v>
          </cell>
          <cell r="AK8">
            <v>682994.68</v>
          </cell>
          <cell r="AL8">
            <v>341497.34</v>
          </cell>
          <cell r="AM8">
            <v>195832.13</v>
          </cell>
          <cell r="AQ8">
            <v>177398.1</v>
          </cell>
          <cell r="AS8">
            <v>1935151.58</v>
          </cell>
          <cell r="AU8">
            <v>78332.850000000006</v>
          </cell>
          <cell r="AV8">
            <v>652251.6</v>
          </cell>
          <cell r="AW8">
            <v>13600</v>
          </cell>
          <cell r="AX8">
            <v>13600</v>
          </cell>
          <cell r="AY8">
            <v>10200</v>
          </cell>
          <cell r="BA8">
            <v>13600</v>
          </cell>
          <cell r="BC8">
            <v>13600</v>
          </cell>
          <cell r="BD8">
            <v>90918.44</v>
          </cell>
          <cell r="BQ8">
            <v>103400</v>
          </cell>
          <cell r="CB8">
            <v>520405.78</v>
          </cell>
        </row>
        <row r="9">
          <cell r="B9">
            <v>1058</v>
          </cell>
          <cell r="C9">
            <v>7</v>
          </cell>
          <cell r="D9" t="str">
            <v>HS</v>
          </cell>
          <cell r="E9">
            <v>500</v>
          </cell>
          <cell r="F9">
            <v>115</v>
          </cell>
          <cell r="G9">
            <v>500</v>
          </cell>
          <cell r="H9">
            <v>276</v>
          </cell>
          <cell r="I9">
            <v>0.55200000000000005</v>
          </cell>
          <cell r="J9">
            <v>34.998046875</v>
          </cell>
          <cell r="K9">
            <v>2.9998325892857141</v>
          </cell>
          <cell r="L9">
            <v>198942.26</v>
          </cell>
          <cell r="N9">
            <v>256849.86</v>
          </cell>
          <cell r="O9">
            <v>71961.03</v>
          </cell>
          <cell r="P9">
            <v>3918.72</v>
          </cell>
          <cell r="Q9">
            <v>79024.509999999995</v>
          </cell>
          <cell r="R9">
            <v>60058.83</v>
          </cell>
          <cell r="S9">
            <v>153561.79</v>
          </cell>
          <cell r="T9">
            <v>113832.45</v>
          </cell>
          <cell r="AG9">
            <v>2986500</v>
          </cell>
          <cell r="AH9">
            <v>296500</v>
          </cell>
          <cell r="AI9">
            <v>170748.67</v>
          </cell>
          <cell r="AJ9">
            <v>227664.89</v>
          </cell>
          <cell r="AK9">
            <v>455329.78</v>
          </cell>
          <cell r="AQ9">
            <v>62716.5</v>
          </cell>
          <cell r="AT9">
            <v>15936.54</v>
          </cell>
          <cell r="AV9">
            <v>5375.7</v>
          </cell>
          <cell r="AZ9">
            <v>25000</v>
          </cell>
          <cell r="BD9">
            <v>140274.16</v>
          </cell>
          <cell r="BE9">
            <v>2259.4699999999998</v>
          </cell>
          <cell r="BW9">
            <v>900000</v>
          </cell>
          <cell r="CB9">
            <v>782620.54</v>
          </cell>
          <cell r="CC9">
            <v>90789.6</v>
          </cell>
        </row>
        <row r="10">
          <cell r="B10">
            <v>205</v>
          </cell>
          <cell r="C10">
            <v>4</v>
          </cell>
          <cell r="D10" t="str">
            <v>ES</v>
          </cell>
          <cell r="E10">
            <v>601</v>
          </cell>
          <cell r="F10">
            <v>-39</v>
          </cell>
          <cell r="G10">
            <v>465</v>
          </cell>
          <cell r="H10">
            <v>260</v>
          </cell>
          <cell r="I10">
            <v>0.43261231281198004</v>
          </cell>
          <cell r="J10">
            <v>87.995089285714286</v>
          </cell>
          <cell r="K10">
            <v>300.98320312499999</v>
          </cell>
          <cell r="L10">
            <v>198942.26</v>
          </cell>
          <cell r="O10">
            <v>71961.03</v>
          </cell>
          <cell r="P10">
            <v>6801.95</v>
          </cell>
          <cell r="Q10">
            <v>79024.509999999995</v>
          </cell>
          <cell r="R10">
            <v>60058.83</v>
          </cell>
          <cell r="S10">
            <v>153561.79</v>
          </cell>
          <cell r="T10">
            <v>113832.45</v>
          </cell>
          <cell r="U10">
            <v>455329.78</v>
          </cell>
          <cell r="W10">
            <v>455329.78</v>
          </cell>
          <cell r="X10">
            <v>313331.40999999997</v>
          </cell>
          <cell r="Y10">
            <v>243698.4</v>
          </cell>
          <cell r="AG10">
            <v>2777445</v>
          </cell>
          <cell r="AH10">
            <v>195325</v>
          </cell>
          <cell r="AI10">
            <v>113832.45</v>
          </cell>
          <cell r="AJ10">
            <v>227664.89</v>
          </cell>
          <cell r="AK10">
            <v>569162.23</v>
          </cell>
          <cell r="AL10">
            <v>341497.34</v>
          </cell>
          <cell r="AM10">
            <v>234998.56</v>
          </cell>
          <cell r="AQ10">
            <v>157687.20000000001</v>
          </cell>
          <cell r="AS10">
            <v>1593654.25</v>
          </cell>
          <cell r="AU10">
            <v>39166.43</v>
          </cell>
          <cell r="AV10">
            <v>539361.9</v>
          </cell>
          <cell r="AW10">
            <v>34000</v>
          </cell>
          <cell r="AX10">
            <v>54400</v>
          </cell>
          <cell r="BA10">
            <v>54400</v>
          </cell>
          <cell r="BB10">
            <v>10200</v>
          </cell>
          <cell r="BC10">
            <v>74800</v>
          </cell>
          <cell r="BD10">
            <v>185300.43</v>
          </cell>
          <cell r="BE10">
            <v>2984.73</v>
          </cell>
          <cell r="BV10">
            <v>15325</v>
          </cell>
          <cell r="CB10">
            <v>697451.04</v>
          </cell>
          <cell r="CC10">
            <v>23414.16</v>
          </cell>
        </row>
        <row r="11">
          <cell r="B11">
            <v>206</v>
          </cell>
          <cell r="C11">
            <v>7</v>
          </cell>
          <cell r="D11" t="str">
            <v>ES</v>
          </cell>
          <cell r="E11">
            <v>367</v>
          </cell>
          <cell r="F11">
            <v>-89</v>
          </cell>
          <cell r="G11">
            <v>288</v>
          </cell>
          <cell r="H11">
            <v>205</v>
          </cell>
          <cell r="I11">
            <v>0.55858310626703001</v>
          </cell>
          <cell r="J11">
            <v>81.995424107142853</v>
          </cell>
          <cell r="K11">
            <v>0.99994419642857146</v>
          </cell>
          <cell r="L11">
            <v>198942.26</v>
          </cell>
          <cell r="O11">
            <v>71961.03</v>
          </cell>
          <cell r="P11">
            <v>6421.55</v>
          </cell>
          <cell r="Q11">
            <v>79024.509999999995</v>
          </cell>
          <cell r="R11">
            <v>60058.83</v>
          </cell>
          <cell r="S11">
            <v>102374.53</v>
          </cell>
          <cell r="T11">
            <v>113832.45</v>
          </cell>
          <cell r="U11">
            <v>227664.89</v>
          </cell>
          <cell r="V11">
            <v>113832.45</v>
          </cell>
          <cell r="W11">
            <v>227664.89</v>
          </cell>
          <cell r="X11">
            <v>195832.13</v>
          </cell>
          <cell r="Y11">
            <v>141560.1</v>
          </cell>
          <cell r="AG11">
            <v>1720224</v>
          </cell>
          <cell r="AH11">
            <v>119275</v>
          </cell>
          <cell r="AI11">
            <v>113832.45</v>
          </cell>
          <cell r="AJ11">
            <v>227664.89</v>
          </cell>
          <cell r="AK11">
            <v>341497.34</v>
          </cell>
          <cell r="AL11">
            <v>682994.68</v>
          </cell>
          <cell r="AM11">
            <v>469997.12</v>
          </cell>
          <cell r="AP11">
            <v>119483.41</v>
          </cell>
          <cell r="AQ11">
            <v>146935.79999999999</v>
          </cell>
          <cell r="AT11">
            <v>5691.62</v>
          </cell>
          <cell r="AV11">
            <v>1791.9</v>
          </cell>
          <cell r="AW11">
            <v>27200</v>
          </cell>
          <cell r="AX11">
            <v>20400</v>
          </cell>
          <cell r="AY11">
            <v>10200</v>
          </cell>
          <cell r="BA11">
            <v>47600</v>
          </cell>
          <cell r="BC11">
            <v>40800</v>
          </cell>
          <cell r="BD11">
            <v>180105.1</v>
          </cell>
          <cell r="BE11">
            <v>2901.05</v>
          </cell>
          <cell r="BV11">
            <v>15325</v>
          </cell>
          <cell r="CB11">
            <v>549913.31999999995</v>
          </cell>
          <cell r="CC11">
            <v>69525.72</v>
          </cell>
          <cell r="CD11">
            <v>357831.96</v>
          </cell>
          <cell r="CE11">
            <v>92197.09</v>
          </cell>
          <cell r="CG11">
            <v>346279.26</v>
          </cell>
        </row>
        <row r="12">
          <cell r="B12">
            <v>402</v>
          </cell>
          <cell r="C12">
            <v>1</v>
          </cell>
          <cell r="D12" t="str">
            <v>HS</v>
          </cell>
          <cell r="E12">
            <v>564</v>
          </cell>
          <cell r="F12">
            <v>-8</v>
          </cell>
          <cell r="G12">
            <v>564</v>
          </cell>
          <cell r="H12">
            <v>145</v>
          </cell>
          <cell r="I12">
            <v>0.25709219858156029</v>
          </cell>
          <cell r="J12">
            <v>3.9997767857142859</v>
          </cell>
          <cell r="K12">
            <v>6.9996093749999995</v>
          </cell>
          <cell r="L12">
            <v>198942.26</v>
          </cell>
          <cell r="N12">
            <v>321062.33</v>
          </cell>
          <cell r="O12">
            <v>71961.03</v>
          </cell>
          <cell r="P12">
            <v>14706</v>
          </cell>
          <cell r="Q12">
            <v>79024.509999999995</v>
          </cell>
          <cell r="R12">
            <v>60058.83</v>
          </cell>
          <cell r="S12">
            <v>255936.32</v>
          </cell>
          <cell r="T12">
            <v>113832.45</v>
          </cell>
          <cell r="AG12">
            <v>3368772</v>
          </cell>
          <cell r="AH12">
            <v>334452</v>
          </cell>
          <cell r="AI12">
            <v>113832.45</v>
          </cell>
          <cell r="AJ12">
            <v>113832.45</v>
          </cell>
          <cell r="AK12">
            <v>113832.45</v>
          </cell>
          <cell r="AQ12">
            <v>7167.6</v>
          </cell>
          <cell r="AT12">
            <v>36426.379999999997</v>
          </cell>
          <cell r="AV12">
            <v>12543.3</v>
          </cell>
          <cell r="BF12">
            <v>14100</v>
          </cell>
          <cell r="BL12">
            <v>119483.41</v>
          </cell>
          <cell r="BM12">
            <v>29430</v>
          </cell>
          <cell r="BW12">
            <v>690480</v>
          </cell>
          <cell r="CB12">
            <v>398351.84</v>
          </cell>
          <cell r="CE12">
            <v>181663.35</v>
          </cell>
        </row>
        <row r="13">
          <cell r="B13">
            <v>291</v>
          </cell>
          <cell r="C13">
            <v>8</v>
          </cell>
          <cell r="D13" t="str">
            <v>ES</v>
          </cell>
          <cell r="E13">
            <v>437</v>
          </cell>
          <cell r="F13">
            <v>3</v>
          </cell>
          <cell r="G13">
            <v>337</v>
          </cell>
          <cell r="H13">
            <v>329</v>
          </cell>
          <cell r="I13">
            <v>0.75286041189931352</v>
          </cell>
          <cell r="J13">
            <v>63.996428571428574</v>
          </cell>
          <cell r="K13">
            <v>2.9998325892857141</v>
          </cell>
          <cell r="L13">
            <v>198942.26</v>
          </cell>
          <cell r="O13">
            <v>71961.03</v>
          </cell>
          <cell r="P13">
            <v>6251</v>
          </cell>
          <cell r="Q13">
            <v>79024.509999999995</v>
          </cell>
          <cell r="R13">
            <v>60058.83</v>
          </cell>
          <cell r="S13">
            <v>102374.53</v>
          </cell>
          <cell r="T13">
            <v>113832.45</v>
          </cell>
          <cell r="U13">
            <v>341497.34</v>
          </cell>
          <cell r="W13">
            <v>341497.34</v>
          </cell>
          <cell r="X13">
            <v>234998.56</v>
          </cell>
          <cell r="Y13">
            <v>179190</v>
          </cell>
          <cell r="AG13">
            <v>2012901</v>
          </cell>
          <cell r="AH13">
            <v>142025</v>
          </cell>
          <cell r="AI13">
            <v>113832.45</v>
          </cell>
          <cell r="AJ13">
            <v>227664.89</v>
          </cell>
          <cell r="AK13">
            <v>341497.34</v>
          </cell>
          <cell r="AL13">
            <v>341497.34</v>
          </cell>
          <cell r="AM13">
            <v>234998.56</v>
          </cell>
          <cell r="AQ13">
            <v>114681.60000000001</v>
          </cell>
          <cell r="AT13">
            <v>15936.54</v>
          </cell>
          <cell r="AV13">
            <v>5375.7</v>
          </cell>
          <cell r="AW13">
            <v>20400</v>
          </cell>
          <cell r="AX13">
            <v>20400</v>
          </cell>
          <cell r="AY13">
            <v>10200</v>
          </cell>
          <cell r="BA13">
            <v>20400</v>
          </cell>
          <cell r="BC13">
            <v>20400</v>
          </cell>
          <cell r="BD13">
            <v>236496.17</v>
          </cell>
          <cell r="BE13">
            <v>3809.37</v>
          </cell>
          <cell r="CB13">
            <v>882543.82</v>
          </cell>
          <cell r="CC13">
            <v>184207.32</v>
          </cell>
          <cell r="CF13">
            <v>49398.27</v>
          </cell>
        </row>
        <row r="14">
          <cell r="B14">
            <v>212</v>
          </cell>
          <cell r="C14">
            <v>6</v>
          </cell>
          <cell r="D14" t="str">
            <v>ES</v>
          </cell>
          <cell r="E14">
            <v>428</v>
          </cell>
          <cell r="F14">
            <v>-18</v>
          </cell>
          <cell r="G14">
            <v>364</v>
          </cell>
          <cell r="H14">
            <v>22</v>
          </cell>
          <cell r="I14">
            <v>5.1401869158878503E-2</v>
          </cell>
          <cell r="J14">
            <v>48.997265625000004</v>
          </cell>
          <cell r="K14">
            <v>16.999051339285714</v>
          </cell>
          <cell r="L14">
            <v>198942.26</v>
          </cell>
          <cell r="O14">
            <v>71961.03</v>
          </cell>
          <cell r="P14">
            <v>4794.3999999999996</v>
          </cell>
          <cell r="Q14">
            <v>79024.509999999995</v>
          </cell>
          <cell r="R14">
            <v>60058.83</v>
          </cell>
          <cell r="S14">
            <v>102374.53</v>
          </cell>
          <cell r="T14">
            <v>113832.45</v>
          </cell>
          <cell r="V14">
            <v>455329.78</v>
          </cell>
          <cell r="X14">
            <v>156665.71</v>
          </cell>
          <cell r="Y14">
            <v>114681.60000000001</v>
          </cell>
          <cell r="AG14">
            <v>2174172</v>
          </cell>
          <cell r="AH14">
            <v>139100</v>
          </cell>
          <cell r="AI14">
            <v>113832.45</v>
          </cell>
          <cell r="AJ14">
            <v>113832.45</v>
          </cell>
          <cell r="AK14">
            <v>341497.34</v>
          </cell>
          <cell r="AQ14">
            <v>87803.1</v>
          </cell>
          <cell r="AS14">
            <v>113832.45</v>
          </cell>
          <cell r="AV14">
            <v>30462.3</v>
          </cell>
          <cell r="BF14">
            <v>10700</v>
          </cell>
          <cell r="CB14">
            <v>59015.09</v>
          </cell>
          <cell r="CD14">
            <v>262206.31</v>
          </cell>
          <cell r="CE14">
            <v>271874.07</v>
          </cell>
          <cell r="CF14">
            <v>366299.78</v>
          </cell>
          <cell r="CG14">
            <v>73707.88</v>
          </cell>
        </row>
        <row r="15">
          <cell r="B15">
            <v>213</v>
          </cell>
          <cell r="C15">
            <v>4</v>
          </cell>
          <cell r="D15" t="str">
            <v>ES</v>
          </cell>
          <cell r="E15">
            <v>596</v>
          </cell>
          <cell r="F15">
            <v>28</v>
          </cell>
          <cell r="G15">
            <v>495</v>
          </cell>
          <cell r="H15">
            <v>242</v>
          </cell>
          <cell r="I15">
            <v>0.40604026845637586</v>
          </cell>
          <cell r="J15">
            <v>111.99374999999999</v>
          </cell>
          <cell r="K15">
            <v>525.9706473214286</v>
          </cell>
          <cell r="L15">
            <v>198942.26</v>
          </cell>
          <cell r="O15">
            <v>71961.03</v>
          </cell>
          <cell r="P15">
            <v>6877.6</v>
          </cell>
          <cell r="Q15">
            <v>79024.509999999995</v>
          </cell>
          <cell r="R15">
            <v>60058.83</v>
          </cell>
          <cell r="S15">
            <v>153561.79</v>
          </cell>
          <cell r="T15">
            <v>113832.45</v>
          </cell>
          <cell r="U15">
            <v>341497.34</v>
          </cell>
          <cell r="W15">
            <v>341497.34</v>
          </cell>
          <cell r="X15">
            <v>234998.56</v>
          </cell>
          <cell r="Y15">
            <v>180981.9</v>
          </cell>
          <cell r="AG15">
            <v>2956635</v>
          </cell>
          <cell r="AH15">
            <v>193700</v>
          </cell>
          <cell r="AI15">
            <v>113832.45</v>
          </cell>
          <cell r="AJ15">
            <v>341497.34</v>
          </cell>
          <cell r="AK15">
            <v>910659.57</v>
          </cell>
          <cell r="AL15">
            <v>341497.34</v>
          </cell>
          <cell r="AM15">
            <v>234998.56</v>
          </cell>
          <cell r="AQ15">
            <v>200692.8</v>
          </cell>
          <cell r="AS15">
            <v>2731978.71</v>
          </cell>
          <cell r="AU15">
            <v>117499.28</v>
          </cell>
          <cell r="AV15">
            <v>942539.4</v>
          </cell>
          <cell r="AW15">
            <v>34000</v>
          </cell>
          <cell r="AX15">
            <v>34000</v>
          </cell>
          <cell r="AY15">
            <v>10200</v>
          </cell>
          <cell r="BA15">
            <v>27200</v>
          </cell>
          <cell r="BC15">
            <v>27200</v>
          </cell>
          <cell r="BD15">
            <v>166250.85999999999</v>
          </cell>
          <cell r="BE15">
            <v>2677.89</v>
          </cell>
          <cell r="BV15">
            <v>15325</v>
          </cell>
          <cell r="CB15">
            <v>649165.97</v>
          </cell>
          <cell r="CC15">
            <v>4300.5600000000004</v>
          </cell>
        </row>
        <row r="16">
          <cell r="B16">
            <v>347</v>
          </cell>
          <cell r="C16">
            <v>5</v>
          </cell>
          <cell r="D16" t="str">
            <v>MS</v>
          </cell>
          <cell r="E16">
            <v>329</v>
          </cell>
          <cell r="F16">
            <v>-30</v>
          </cell>
          <cell r="G16">
            <v>329</v>
          </cell>
          <cell r="H16">
            <v>179</v>
          </cell>
          <cell r="I16">
            <v>0.54407294832826747</v>
          </cell>
          <cell r="J16">
            <v>68.996149553571428</v>
          </cell>
          <cell r="K16">
            <v>44.997488839285715</v>
          </cell>
          <cell r="L16">
            <v>198942.26</v>
          </cell>
          <cell r="M16">
            <v>113832.45</v>
          </cell>
          <cell r="O16">
            <v>71961.03</v>
          </cell>
          <cell r="P16">
            <v>8948.1</v>
          </cell>
          <cell r="Q16">
            <v>79024.509999999995</v>
          </cell>
          <cell r="R16">
            <v>60058.83</v>
          </cell>
          <cell r="S16">
            <v>153561.79</v>
          </cell>
          <cell r="T16">
            <v>113832.45</v>
          </cell>
          <cell r="AG16">
            <v>1965117</v>
          </cell>
          <cell r="AH16">
            <v>112518</v>
          </cell>
          <cell r="AI16">
            <v>113832.45</v>
          </cell>
          <cell r="AJ16">
            <v>227664.89</v>
          </cell>
          <cell r="AK16">
            <v>682994.68</v>
          </cell>
          <cell r="AL16">
            <v>455329.78</v>
          </cell>
          <cell r="AM16">
            <v>234998.56</v>
          </cell>
          <cell r="AQ16">
            <v>123641.1</v>
          </cell>
          <cell r="AS16">
            <v>284581.12</v>
          </cell>
          <cell r="AV16">
            <v>80635.5</v>
          </cell>
          <cell r="BD16">
            <v>147201.28</v>
          </cell>
          <cell r="BE16">
            <v>2371.0500000000002</v>
          </cell>
          <cell r="BW16">
            <v>200000</v>
          </cell>
          <cell r="BX16">
            <v>55921</v>
          </cell>
          <cell r="CB16">
            <v>480168.22</v>
          </cell>
          <cell r="CC16">
            <v>56624.04</v>
          </cell>
        </row>
        <row r="17">
          <cell r="B17">
            <v>404</v>
          </cell>
          <cell r="C17">
            <v>5</v>
          </cell>
          <cell r="D17" t="str">
            <v>EC</v>
          </cell>
          <cell r="E17">
            <v>413</v>
          </cell>
          <cell r="F17">
            <v>-23</v>
          </cell>
          <cell r="G17">
            <v>348</v>
          </cell>
          <cell r="H17">
            <v>269</v>
          </cell>
          <cell r="I17">
            <v>0.65133171912832932</v>
          </cell>
          <cell r="J17">
            <v>74.995814732142861</v>
          </cell>
          <cell r="K17">
            <v>99.994419642857139</v>
          </cell>
          <cell r="L17">
            <v>198942.26</v>
          </cell>
          <cell r="M17">
            <v>56916.22</v>
          </cell>
          <cell r="O17">
            <v>71961.03</v>
          </cell>
          <cell r="P17">
            <v>13760.4</v>
          </cell>
          <cell r="Q17">
            <v>79024.509999999995</v>
          </cell>
          <cell r="R17">
            <v>60058.83</v>
          </cell>
          <cell r="S17">
            <v>255936.32</v>
          </cell>
          <cell r="T17">
            <v>113832.45</v>
          </cell>
          <cell r="V17">
            <v>227664.89</v>
          </cell>
          <cell r="W17">
            <v>227664.89</v>
          </cell>
          <cell r="X17">
            <v>156665.71</v>
          </cell>
          <cell r="Y17">
            <v>116473.5</v>
          </cell>
          <cell r="AB17">
            <v>519651</v>
          </cell>
          <cell r="AG17">
            <v>2078604</v>
          </cell>
          <cell r="AH17">
            <v>136290</v>
          </cell>
          <cell r="AI17">
            <v>113832.45</v>
          </cell>
          <cell r="AJ17">
            <v>227664.89</v>
          </cell>
          <cell r="AK17">
            <v>682994.68</v>
          </cell>
          <cell r="AL17">
            <v>341497.34</v>
          </cell>
          <cell r="AM17">
            <v>234998.56</v>
          </cell>
          <cell r="AQ17">
            <v>134392.5</v>
          </cell>
          <cell r="AS17">
            <v>569162.23</v>
          </cell>
          <cell r="AV17">
            <v>179190</v>
          </cell>
          <cell r="AW17">
            <v>13600</v>
          </cell>
          <cell r="AX17">
            <v>13600</v>
          </cell>
          <cell r="AY17">
            <v>10200</v>
          </cell>
          <cell r="BA17">
            <v>13600</v>
          </cell>
          <cell r="BC17">
            <v>13600</v>
          </cell>
          <cell r="BD17">
            <v>223507.83</v>
          </cell>
          <cell r="BE17">
            <v>3600.16</v>
          </cell>
          <cell r="BV17">
            <v>15325</v>
          </cell>
          <cell r="CB17">
            <v>721593.58</v>
          </cell>
          <cell r="CC17">
            <v>123999.48</v>
          </cell>
          <cell r="CE17">
            <v>42721.51</v>
          </cell>
        </row>
        <row r="18">
          <cell r="B18">
            <v>296</v>
          </cell>
          <cell r="C18">
            <v>1</v>
          </cell>
          <cell r="D18" t="str">
            <v>ES</v>
          </cell>
          <cell r="E18">
            <v>421</v>
          </cell>
          <cell r="F18">
            <v>-64</v>
          </cell>
          <cell r="G18">
            <v>328</v>
          </cell>
          <cell r="H18">
            <v>140</v>
          </cell>
          <cell r="I18">
            <v>0.33254156769596199</v>
          </cell>
          <cell r="J18">
            <v>44.997488839285715</v>
          </cell>
          <cell r="K18">
            <v>289.98381696428572</v>
          </cell>
          <cell r="L18">
            <v>198942.26</v>
          </cell>
          <cell r="O18">
            <v>71961.03</v>
          </cell>
          <cell r="P18">
            <v>7194.25</v>
          </cell>
          <cell r="Q18">
            <v>79024.509999999995</v>
          </cell>
          <cell r="R18">
            <v>60058.83</v>
          </cell>
          <cell r="S18">
            <v>102374.53</v>
          </cell>
          <cell r="T18">
            <v>113832.45</v>
          </cell>
          <cell r="V18">
            <v>682994.68</v>
          </cell>
          <cell r="X18">
            <v>234998.56</v>
          </cell>
          <cell r="Y18">
            <v>166646.70000000001</v>
          </cell>
          <cell r="AG18">
            <v>1959144</v>
          </cell>
          <cell r="AH18">
            <v>136825</v>
          </cell>
          <cell r="AI18">
            <v>113832.45</v>
          </cell>
          <cell r="AJ18">
            <v>227664.89</v>
          </cell>
          <cell r="AK18">
            <v>341497.34</v>
          </cell>
          <cell r="AQ18">
            <v>80635.5</v>
          </cell>
          <cell r="AS18">
            <v>1536738.02</v>
          </cell>
          <cell r="AV18">
            <v>519651</v>
          </cell>
          <cell r="BD18">
            <v>91784.33</v>
          </cell>
          <cell r="BE18">
            <v>1478.42</v>
          </cell>
          <cell r="BQ18">
            <v>70200</v>
          </cell>
          <cell r="CB18">
            <v>375550.56</v>
          </cell>
          <cell r="CD18">
            <v>395435.26</v>
          </cell>
          <cell r="CG18">
            <v>340240.68</v>
          </cell>
        </row>
        <row r="19">
          <cell r="B19">
            <v>219</v>
          </cell>
          <cell r="C19">
            <v>5</v>
          </cell>
          <cell r="D19" t="str">
            <v>ES</v>
          </cell>
          <cell r="E19">
            <v>210</v>
          </cell>
          <cell r="F19">
            <v>-21</v>
          </cell>
          <cell r="G19">
            <v>154</v>
          </cell>
          <cell r="H19">
            <v>96</v>
          </cell>
          <cell r="I19">
            <v>0.45714285714285713</v>
          </cell>
          <cell r="J19">
            <v>41.997656249999999</v>
          </cell>
          <cell r="K19">
            <v>25.998549107142857</v>
          </cell>
          <cell r="L19">
            <v>198942.26</v>
          </cell>
          <cell r="O19">
            <v>71961.03</v>
          </cell>
          <cell r="P19">
            <v>7255</v>
          </cell>
          <cell r="Q19">
            <v>79024.509999999995</v>
          </cell>
          <cell r="R19">
            <v>60058.83</v>
          </cell>
          <cell r="S19">
            <v>51187.26</v>
          </cell>
          <cell r="T19">
            <v>113832.45</v>
          </cell>
          <cell r="U19">
            <v>227664.89</v>
          </cell>
          <cell r="W19">
            <v>341497.34</v>
          </cell>
          <cell r="X19">
            <v>195832.13</v>
          </cell>
          <cell r="Y19">
            <v>100346.4</v>
          </cell>
          <cell r="AG19">
            <v>919842</v>
          </cell>
          <cell r="AH19">
            <v>68250</v>
          </cell>
          <cell r="AI19">
            <v>113832.45</v>
          </cell>
          <cell r="AJ19">
            <v>113832.45</v>
          </cell>
          <cell r="AK19">
            <v>341497.34</v>
          </cell>
          <cell r="AL19">
            <v>341497.34</v>
          </cell>
          <cell r="AM19">
            <v>234998.56</v>
          </cell>
          <cell r="AQ19">
            <v>75259.8</v>
          </cell>
          <cell r="AS19">
            <v>170748.67</v>
          </cell>
          <cell r="AV19">
            <v>46589.4</v>
          </cell>
          <cell r="AW19">
            <v>13600</v>
          </cell>
          <cell r="AX19">
            <v>13600</v>
          </cell>
          <cell r="AY19">
            <v>10200</v>
          </cell>
          <cell r="BA19">
            <v>13600</v>
          </cell>
          <cell r="BC19">
            <v>13600</v>
          </cell>
          <cell r="BD19">
            <v>71868.86</v>
          </cell>
          <cell r="BE19">
            <v>1157.6300000000001</v>
          </cell>
          <cell r="CB19">
            <v>257520.38</v>
          </cell>
          <cell r="CC19">
            <v>14335.2</v>
          </cell>
          <cell r="CF19">
            <v>263245.48</v>
          </cell>
        </row>
        <row r="20">
          <cell r="B20">
            <v>220</v>
          </cell>
          <cell r="C20">
            <v>5</v>
          </cell>
          <cell r="D20" t="str">
            <v>ES</v>
          </cell>
          <cell r="E20">
            <v>233</v>
          </cell>
          <cell r="F20">
            <v>-46</v>
          </cell>
          <cell r="G20">
            <v>166</v>
          </cell>
          <cell r="H20">
            <v>99</v>
          </cell>
          <cell r="I20">
            <v>0.42489270386266093</v>
          </cell>
          <cell r="J20">
            <v>43.997544642857143</v>
          </cell>
          <cell r="K20">
            <v>25.998549107142857</v>
          </cell>
          <cell r="L20">
            <v>198942.26</v>
          </cell>
          <cell r="O20">
            <v>71961.03</v>
          </cell>
          <cell r="P20">
            <v>5974.95</v>
          </cell>
          <cell r="Q20">
            <v>79024.509999999995</v>
          </cell>
          <cell r="R20">
            <v>60058.83</v>
          </cell>
          <cell r="S20">
            <v>51187.26</v>
          </cell>
          <cell r="T20">
            <v>113832.45</v>
          </cell>
          <cell r="U20">
            <v>227664.89</v>
          </cell>
          <cell r="V20">
            <v>113832.45</v>
          </cell>
          <cell r="W20">
            <v>227664.89</v>
          </cell>
          <cell r="X20">
            <v>195832.13</v>
          </cell>
          <cell r="Y20">
            <v>120057.3</v>
          </cell>
          <cell r="AG20">
            <v>991518</v>
          </cell>
          <cell r="AH20">
            <v>75725</v>
          </cell>
          <cell r="AI20">
            <v>113832.45</v>
          </cell>
          <cell r="AJ20">
            <v>113832.45</v>
          </cell>
          <cell r="AK20">
            <v>341497.34</v>
          </cell>
          <cell r="AL20">
            <v>455329.78</v>
          </cell>
          <cell r="AM20">
            <v>234998.56</v>
          </cell>
          <cell r="AQ20">
            <v>78843.600000000006</v>
          </cell>
          <cell r="AS20">
            <v>170748.67</v>
          </cell>
          <cell r="AV20">
            <v>46589.4</v>
          </cell>
          <cell r="AW20">
            <v>20400</v>
          </cell>
          <cell r="AX20">
            <v>20400</v>
          </cell>
          <cell r="AY20">
            <v>10200</v>
          </cell>
          <cell r="BA20">
            <v>20400</v>
          </cell>
          <cell r="BC20">
            <v>20400</v>
          </cell>
          <cell r="BD20">
            <v>90052.55</v>
          </cell>
          <cell r="BE20">
            <v>1450.52</v>
          </cell>
          <cell r="BV20">
            <v>15325</v>
          </cell>
          <cell r="CB20">
            <v>265567.90000000002</v>
          </cell>
          <cell r="CC20">
            <v>6928.68</v>
          </cell>
          <cell r="CD20">
            <v>93694.21</v>
          </cell>
          <cell r="CF20">
            <v>403346.19</v>
          </cell>
        </row>
        <row r="21">
          <cell r="B21">
            <v>221</v>
          </cell>
          <cell r="C21">
            <v>7</v>
          </cell>
          <cell r="D21" t="str">
            <v>ES</v>
          </cell>
          <cell r="E21">
            <v>257</v>
          </cell>
          <cell r="F21">
            <v>-48</v>
          </cell>
          <cell r="G21">
            <v>185</v>
          </cell>
          <cell r="H21">
            <v>182</v>
          </cell>
          <cell r="I21">
            <v>0.70817120622568097</v>
          </cell>
          <cell r="J21">
            <v>24.998604910714285</v>
          </cell>
          <cell r="K21">
            <v>3.9997767857142859</v>
          </cell>
          <cell r="L21">
            <v>198942.26</v>
          </cell>
          <cell r="O21">
            <v>71961.03</v>
          </cell>
          <cell r="P21">
            <v>7117.95</v>
          </cell>
          <cell r="Q21">
            <v>79024.509999999995</v>
          </cell>
          <cell r="R21">
            <v>60058.83</v>
          </cell>
          <cell r="S21">
            <v>51187.26</v>
          </cell>
          <cell r="T21">
            <v>113832.45</v>
          </cell>
          <cell r="U21">
            <v>227664.89</v>
          </cell>
          <cell r="V21">
            <v>113832.45</v>
          </cell>
          <cell r="W21">
            <v>341497.34</v>
          </cell>
          <cell r="X21">
            <v>234998.56</v>
          </cell>
          <cell r="Y21">
            <v>129016.8</v>
          </cell>
          <cell r="AG21">
            <v>1105005</v>
          </cell>
          <cell r="AH21">
            <v>83525</v>
          </cell>
          <cell r="AI21">
            <v>113832.45</v>
          </cell>
          <cell r="AJ21">
            <v>113832.45</v>
          </cell>
          <cell r="AK21">
            <v>341497.34</v>
          </cell>
          <cell r="AQ21">
            <v>44797.5</v>
          </cell>
          <cell r="AT21">
            <v>20489.84</v>
          </cell>
          <cell r="AV21">
            <v>7167.6</v>
          </cell>
          <cell r="AW21">
            <v>13600</v>
          </cell>
          <cell r="AX21">
            <v>13600</v>
          </cell>
          <cell r="AY21">
            <v>10200</v>
          </cell>
          <cell r="BA21">
            <v>13600</v>
          </cell>
          <cell r="BC21">
            <v>13600</v>
          </cell>
          <cell r="BD21">
            <v>139083.56</v>
          </cell>
          <cell r="BE21">
            <v>2240.29</v>
          </cell>
          <cell r="BV21">
            <v>15325</v>
          </cell>
          <cell r="CB21">
            <v>488215.73</v>
          </cell>
          <cell r="CC21">
            <v>94612.32</v>
          </cell>
          <cell r="CF21">
            <v>380516.39</v>
          </cell>
        </row>
        <row r="22">
          <cell r="B22">
            <v>247</v>
          </cell>
          <cell r="C22">
            <v>7</v>
          </cell>
          <cell r="D22" t="str">
            <v>ES</v>
          </cell>
          <cell r="E22">
            <v>238</v>
          </cell>
          <cell r="F22">
            <v>6</v>
          </cell>
          <cell r="G22">
            <v>190</v>
          </cell>
          <cell r="H22">
            <v>186</v>
          </cell>
          <cell r="I22">
            <v>0.78151260504201681</v>
          </cell>
          <cell r="J22">
            <v>45.99743303571428</v>
          </cell>
          <cell r="K22">
            <v>2.9998325892857141</v>
          </cell>
          <cell r="L22">
            <v>198942.26</v>
          </cell>
          <cell r="O22">
            <v>71961.03</v>
          </cell>
          <cell r="P22">
            <v>6031.15</v>
          </cell>
          <cell r="Q22">
            <v>79024.509999999995</v>
          </cell>
          <cell r="R22">
            <v>60058.83</v>
          </cell>
          <cell r="S22">
            <v>51187.26</v>
          </cell>
          <cell r="T22">
            <v>113832.45</v>
          </cell>
          <cell r="V22">
            <v>341497.34</v>
          </cell>
          <cell r="X22">
            <v>117499.28</v>
          </cell>
          <cell r="Y22">
            <v>86011.199999999997</v>
          </cell>
          <cell r="AG22">
            <v>1134870</v>
          </cell>
          <cell r="AH22">
            <v>77350</v>
          </cell>
          <cell r="AI22">
            <v>113832.45</v>
          </cell>
          <cell r="AJ22">
            <v>227664.89</v>
          </cell>
          <cell r="AK22">
            <v>341497.34</v>
          </cell>
          <cell r="AL22">
            <v>455329.78</v>
          </cell>
          <cell r="AM22">
            <v>234998.56</v>
          </cell>
          <cell r="AQ22">
            <v>82427.399999999994</v>
          </cell>
          <cell r="AT22">
            <v>15936.54</v>
          </cell>
          <cell r="AV22">
            <v>5375.7</v>
          </cell>
          <cell r="AW22">
            <v>13600</v>
          </cell>
          <cell r="AX22">
            <v>6800</v>
          </cell>
          <cell r="AY22">
            <v>10200</v>
          </cell>
          <cell r="BA22">
            <v>13600</v>
          </cell>
          <cell r="BC22">
            <v>6800</v>
          </cell>
          <cell r="BD22">
            <v>128801.12</v>
          </cell>
          <cell r="BE22">
            <v>2074.67</v>
          </cell>
          <cell r="BG22">
            <v>113832.45</v>
          </cell>
          <cell r="BV22">
            <v>15325</v>
          </cell>
          <cell r="CB22">
            <v>498945.74</v>
          </cell>
          <cell r="CC22">
            <v>108469.68</v>
          </cell>
          <cell r="CF22">
            <v>343961.63</v>
          </cell>
        </row>
        <row r="23">
          <cell r="B23">
            <v>360</v>
          </cell>
          <cell r="C23">
            <v>6</v>
          </cell>
          <cell r="D23" t="str">
            <v>EC</v>
          </cell>
          <cell r="E23">
            <v>396</v>
          </cell>
          <cell r="F23">
            <v>41</v>
          </cell>
          <cell r="G23">
            <v>288</v>
          </cell>
          <cell r="H23">
            <v>79</v>
          </cell>
          <cell r="I23">
            <v>0.1994949494949495</v>
          </cell>
          <cell r="J23">
            <v>42.997600446428571</v>
          </cell>
          <cell r="K23">
            <v>10.999386160714286</v>
          </cell>
          <cell r="L23">
            <v>198942.26</v>
          </cell>
          <cell r="M23">
            <v>56916.22</v>
          </cell>
          <cell r="O23">
            <v>71961.03</v>
          </cell>
          <cell r="P23">
            <v>7633.55</v>
          </cell>
          <cell r="Q23">
            <v>79024.509999999995</v>
          </cell>
          <cell r="R23">
            <v>60058.83</v>
          </cell>
          <cell r="S23">
            <v>153561.79</v>
          </cell>
          <cell r="T23">
            <v>113832.45</v>
          </cell>
          <cell r="V23">
            <v>910659.57</v>
          </cell>
          <cell r="X23">
            <v>313331.40999999997</v>
          </cell>
          <cell r="Y23">
            <v>193525.2</v>
          </cell>
          <cell r="AB23">
            <v>430056</v>
          </cell>
          <cell r="AG23">
            <v>1720224</v>
          </cell>
          <cell r="AH23">
            <v>130680</v>
          </cell>
          <cell r="AI23">
            <v>113832.45</v>
          </cell>
          <cell r="AJ23">
            <v>113832.45</v>
          </cell>
          <cell r="AK23">
            <v>341497.34</v>
          </cell>
          <cell r="AQ23">
            <v>77051.7</v>
          </cell>
          <cell r="AS23">
            <v>56916.22</v>
          </cell>
          <cell r="AV23">
            <v>19710.900000000001</v>
          </cell>
          <cell r="BF23">
            <v>9900</v>
          </cell>
          <cell r="BV23">
            <v>15325</v>
          </cell>
          <cell r="CB23">
            <v>211917.82</v>
          </cell>
          <cell r="CD23">
            <v>190026.03</v>
          </cell>
          <cell r="CE23">
            <v>69580.41</v>
          </cell>
        </row>
        <row r="24">
          <cell r="B24">
            <v>454</v>
          </cell>
          <cell r="C24">
            <v>1</v>
          </cell>
          <cell r="D24" t="str">
            <v>EC2</v>
          </cell>
          <cell r="E24">
            <v>652</v>
          </cell>
          <cell r="F24">
            <v>12</v>
          </cell>
          <cell r="G24">
            <v>652</v>
          </cell>
          <cell r="H24">
            <v>518</v>
          </cell>
          <cell r="I24">
            <v>0.79447852760736193</v>
          </cell>
          <cell r="J24">
            <v>191.9892857142857</v>
          </cell>
          <cell r="K24">
            <v>299.98325892857144</v>
          </cell>
          <cell r="L24">
            <v>198942.26</v>
          </cell>
          <cell r="M24">
            <v>56916.22</v>
          </cell>
          <cell r="N24">
            <v>256849.86</v>
          </cell>
          <cell r="O24">
            <v>71961.03</v>
          </cell>
          <cell r="P24">
            <v>37854.019999999997</v>
          </cell>
          <cell r="Q24">
            <v>79024.509999999995</v>
          </cell>
          <cell r="R24">
            <v>60058.83</v>
          </cell>
          <cell r="S24">
            <v>614247.17000000004</v>
          </cell>
          <cell r="T24">
            <v>113832.45</v>
          </cell>
          <cell r="AC24">
            <v>341497.34</v>
          </cell>
          <cell r="AF24">
            <v>227664.89</v>
          </cell>
          <cell r="AG24">
            <v>3894396</v>
          </cell>
          <cell r="AH24">
            <v>386636</v>
          </cell>
          <cell r="AI24">
            <v>227664.89</v>
          </cell>
          <cell r="AJ24">
            <v>796827.12</v>
          </cell>
          <cell r="AK24">
            <v>1252156.9099999999</v>
          </cell>
          <cell r="AL24">
            <v>1252156.9099999999</v>
          </cell>
          <cell r="AM24">
            <v>509163.55</v>
          </cell>
          <cell r="AO24">
            <v>172674.17</v>
          </cell>
          <cell r="AQ24">
            <v>344044.79999999999</v>
          </cell>
          <cell r="AS24">
            <v>1593654.25</v>
          </cell>
          <cell r="AU24">
            <v>78332.850000000006</v>
          </cell>
          <cell r="AV24">
            <v>537570</v>
          </cell>
          <cell r="AZ24">
            <v>65000</v>
          </cell>
          <cell r="BD24">
            <v>239851.5</v>
          </cell>
          <cell r="BE24">
            <v>3863.42</v>
          </cell>
          <cell r="BH24">
            <v>158559.82</v>
          </cell>
          <cell r="BI24">
            <v>14216.09</v>
          </cell>
          <cell r="BJ24">
            <v>11000</v>
          </cell>
          <cell r="BK24">
            <v>34000</v>
          </cell>
          <cell r="BR24">
            <v>113832.45</v>
          </cell>
          <cell r="BT24">
            <v>140941</v>
          </cell>
          <cell r="BU24">
            <v>5000</v>
          </cell>
          <cell r="BX24">
            <v>110842</v>
          </cell>
          <cell r="BY24">
            <v>147878.60999999999</v>
          </cell>
          <cell r="CB24">
            <v>1519638.52</v>
          </cell>
          <cell r="CC24">
            <v>380838.48</v>
          </cell>
        </row>
        <row r="25">
          <cell r="B25">
            <v>224</v>
          </cell>
          <cell r="C25">
            <v>1</v>
          </cell>
          <cell r="D25" t="str">
            <v>ES</v>
          </cell>
          <cell r="E25">
            <v>277</v>
          </cell>
          <cell r="F25">
            <v>-23</v>
          </cell>
          <cell r="G25">
            <v>206</v>
          </cell>
          <cell r="H25">
            <v>129</v>
          </cell>
          <cell r="I25">
            <v>0.46570397111913359</v>
          </cell>
          <cell r="J25">
            <v>29.998325892857142</v>
          </cell>
          <cell r="K25">
            <v>99.994419642857139</v>
          </cell>
          <cell r="L25">
            <v>198942.26</v>
          </cell>
          <cell r="O25">
            <v>71961.03</v>
          </cell>
          <cell r="P25">
            <v>4892.45</v>
          </cell>
          <cell r="Q25">
            <v>79024.509999999995</v>
          </cell>
          <cell r="R25">
            <v>60058.83</v>
          </cell>
          <cell r="S25">
            <v>51187.26</v>
          </cell>
          <cell r="T25">
            <v>113832.45</v>
          </cell>
          <cell r="U25">
            <v>227664.89</v>
          </cell>
          <cell r="V25">
            <v>113832.45</v>
          </cell>
          <cell r="W25">
            <v>227664.89</v>
          </cell>
          <cell r="X25">
            <v>195832.13</v>
          </cell>
          <cell r="Y25">
            <v>127224.9</v>
          </cell>
          <cell r="AG25">
            <v>1230438</v>
          </cell>
          <cell r="AH25">
            <v>90025</v>
          </cell>
          <cell r="AI25">
            <v>113832.45</v>
          </cell>
          <cell r="AJ25">
            <v>227664.89</v>
          </cell>
          <cell r="AK25">
            <v>227664.89</v>
          </cell>
          <cell r="AL25">
            <v>341497.34</v>
          </cell>
          <cell r="AM25">
            <v>156665.71</v>
          </cell>
          <cell r="AQ25">
            <v>53757</v>
          </cell>
          <cell r="AS25">
            <v>569162.23</v>
          </cell>
          <cell r="AV25">
            <v>179190</v>
          </cell>
          <cell r="AW25">
            <v>27200</v>
          </cell>
          <cell r="AX25">
            <v>27200</v>
          </cell>
          <cell r="AY25">
            <v>10200</v>
          </cell>
          <cell r="BA25">
            <v>20400</v>
          </cell>
          <cell r="BC25">
            <v>20400</v>
          </cell>
          <cell r="BD25">
            <v>109968.02</v>
          </cell>
          <cell r="BE25">
            <v>1771.31</v>
          </cell>
          <cell r="BQ25">
            <v>29400</v>
          </cell>
          <cell r="BV25">
            <v>15325</v>
          </cell>
          <cell r="CB25">
            <v>346043.02</v>
          </cell>
          <cell r="CC25">
            <v>21741.72</v>
          </cell>
          <cell r="CF25">
            <v>262596.44</v>
          </cell>
        </row>
        <row r="26">
          <cell r="B26">
            <v>442</v>
          </cell>
          <cell r="C26">
            <v>1</v>
          </cell>
          <cell r="D26" t="str">
            <v>EC2</v>
          </cell>
          <cell r="E26">
            <v>1562</v>
          </cell>
          <cell r="F26">
            <v>62</v>
          </cell>
          <cell r="G26">
            <v>1562</v>
          </cell>
          <cell r="H26">
            <v>865</v>
          </cell>
          <cell r="I26">
            <v>0.55377720870678615</v>
          </cell>
          <cell r="J26">
            <v>247.98616071428572</v>
          </cell>
          <cell r="K26">
            <v>634.96456473214289</v>
          </cell>
          <cell r="L26">
            <v>198942.26</v>
          </cell>
          <cell r="M26">
            <v>170748.67</v>
          </cell>
          <cell r="N26">
            <v>577912.18999999994</v>
          </cell>
          <cell r="O26">
            <v>71961.03</v>
          </cell>
          <cell r="P26">
            <v>23156.959999999999</v>
          </cell>
          <cell r="Q26">
            <v>79024.509999999995</v>
          </cell>
          <cell r="R26">
            <v>60058.83</v>
          </cell>
          <cell r="S26">
            <v>460685.38</v>
          </cell>
          <cell r="T26">
            <v>227664.89</v>
          </cell>
          <cell r="AC26">
            <v>682994.68</v>
          </cell>
          <cell r="AF26">
            <v>227664.89</v>
          </cell>
          <cell r="AG26">
            <v>9329826</v>
          </cell>
          <cell r="AH26">
            <v>926266</v>
          </cell>
          <cell r="AI26">
            <v>341497.34</v>
          </cell>
          <cell r="AJ26">
            <v>569162.23</v>
          </cell>
          <cell r="AK26">
            <v>2731978.71</v>
          </cell>
          <cell r="AL26">
            <v>227664.89</v>
          </cell>
          <cell r="AM26">
            <v>78332.850000000006</v>
          </cell>
          <cell r="AQ26">
            <v>444391.2</v>
          </cell>
          <cell r="AS26">
            <v>3301140.94</v>
          </cell>
          <cell r="AU26">
            <v>78332.850000000006</v>
          </cell>
          <cell r="AV26">
            <v>1137856.5</v>
          </cell>
          <cell r="AZ26">
            <v>80000</v>
          </cell>
          <cell r="BD26">
            <v>476239.44</v>
          </cell>
          <cell r="BE26">
            <v>7671.04</v>
          </cell>
          <cell r="BK26">
            <v>39600</v>
          </cell>
          <cell r="BQ26">
            <v>285400</v>
          </cell>
          <cell r="BX26">
            <v>137551</v>
          </cell>
          <cell r="BY26">
            <v>295757.21000000002</v>
          </cell>
          <cell r="BZ26">
            <v>119483.41</v>
          </cell>
          <cell r="CB26">
            <v>2532283.7799999998</v>
          </cell>
          <cell r="CC26">
            <v>286942.92</v>
          </cell>
        </row>
        <row r="27">
          <cell r="B27">
            <v>455</v>
          </cell>
          <cell r="C27">
            <v>4</v>
          </cell>
          <cell r="D27" t="str">
            <v>HS</v>
          </cell>
          <cell r="E27">
            <v>812</v>
          </cell>
          <cell r="F27">
            <v>116</v>
          </cell>
          <cell r="G27">
            <v>812</v>
          </cell>
          <cell r="H27">
            <v>498</v>
          </cell>
          <cell r="I27">
            <v>0.61330049261083741</v>
          </cell>
          <cell r="J27">
            <v>150.99157366071429</v>
          </cell>
          <cell r="K27">
            <v>187.98950892857144</v>
          </cell>
          <cell r="L27">
            <v>198942.26</v>
          </cell>
          <cell r="N27">
            <v>449487.26</v>
          </cell>
          <cell r="O27">
            <v>71961.03</v>
          </cell>
          <cell r="P27">
            <v>26646.74</v>
          </cell>
          <cell r="Q27">
            <v>79024.509999999995</v>
          </cell>
          <cell r="R27">
            <v>60058.83</v>
          </cell>
          <cell r="S27">
            <v>409498.11</v>
          </cell>
          <cell r="T27">
            <v>113832.45</v>
          </cell>
          <cell r="AC27">
            <v>341497.34</v>
          </cell>
          <cell r="AF27">
            <v>227664.89</v>
          </cell>
          <cell r="AG27">
            <v>4850076</v>
          </cell>
          <cell r="AH27">
            <v>481516</v>
          </cell>
          <cell r="AI27">
            <v>227664.89</v>
          </cell>
          <cell r="AJ27">
            <v>455329.78</v>
          </cell>
          <cell r="AK27">
            <v>1138324.46</v>
          </cell>
          <cell r="AL27">
            <v>569162.23</v>
          </cell>
          <cell r="AM27">
            <v>274164.99</v>
          </cell>
          <cell r="AO27">
            <v>57558.06</v>
          </cell>
          <cell r="AQ27">
            <v>270576.90000000002</v>
          </cell>
          <cell r="AS27">
            <v>1024492.02</v>
          </cell>
          <cell r="AU27">
            <v>39166.43</v>
          </cell>
          <cell r="AV27">
            <v>336877.2</v>
          </cell>
          <cell r="AZ27">
            <v>60000</v>
          </cell>
          <cell r="BD27">
            <v>299597.90000000002</v>
          </cell>
          <cell r="BE27">
            <v>4825.78</v>
          </cell>
          <cell r="BH27">
            <v>158559.82</v>
          </cell>
          <cell r="BI27">
            <v>8416.09</v>
          </cell>
          <cell r="BJ27">
            <v>16800</v>
          </cell>
          <cell r="BK27">
            <v>39600</v>
          </cell>
          <cell r="BP27">
            <v>147878.60999999999</v>
          </cell>
          <cell r="BW27">
            <v>1000000</v>
          </cell>
          <cell r="BY27">
            <v>295757.21000000002</v>
          </cell>
          <cell r="BZ27">
            <v>119483.41</v>
          </cell>
          <cell r="CB27">
            <v>1490801.6</v>
          </cell>
          <cell r="CC27">
            <v>206904.72</v>
          </cell>
        </row>
        <row r="28">
          <cell r="B28">
            <v>405</v>
          </cell>
          <cell r="C28">
            <v>3</v>
          </cell>
          <cell r="D28" t="str">
            <v>MS</v>
          </cell>
          <cell r="E28">
            <v>1405</v>
          </cell>
          <cell r="F28">
            <v>-61</v>
          </cell>
          <cell r="G28">
            <v>1405</v>
          </cell>
          <cell r="H28">
            <v>147</v>
          </cell>
          <cell r="I28">
            <v>0.10462633451957296</v>
          </cell>
          <cell r="J28">
            <v>163.99084821428571</v>
          </cell>
          <cell r="K28">
            <v>139.9921875</v>
          </cell>
          <cell r="L28">
            <v>198942.26</v>
          </cell>
          <cell r="M28">
            <v>455329.78</v>
          </cell>
          <cell r="O28">
            <v>71961.03</v>
          </cell>
          <cell r="P28">
            <v>15185.75</v>
          </cell>
          <cell r="Q28">
            <v>79024.509999999995</v>
          </cell>
          <cell r="R28">
            <v>60058.83</v>
          </cell>
          <cell r="S28">
            <v>409498.11</v>
          </cell>
          <cell r="T28">
            <v>113832.45</v>
          </cell>
          <cell r="AG28">
            <v>8392065</v>
          </cell>
          <cell r="AH28">
            <v>480510</v>
          </cell>
          <cell r="AI28">
            <v>227664.89</v>
          </cell>
          <cell r="AJ28">
            <v>398413.56</v>
          </cell>
          <cell r="AK28">
            <v>1593654.25</v>
          </cell>
          <cell r="AL28">
            <v>341497.34</v>
          </cell>
          <cell r="AM28">
            <v>117499.28</v>
          </cell>
          <cell r="AO28">
            <v>57558.06</v>
          </cell>
          <cell r="AQ28">
            <v>293871.59999999998</v>
          </cell>
          <cell r="AS28">
            <v>739910.9</v>
          </cell>
          <cell r="AV28">
            <v>250866</v>
          </cell>
          <cell r="BF28">
            <v>35125</v>
          </cell>
          <cell r="BL28">
            <v>119483.41</v>
          </cell>
          <cell r="BM28">
            <v>18887</v>
          </cell>
          <cell r="CB28">
            <v>394328.09</v>
          </cell>
          <cell r="CD28">
            <v>785852.78</v>
          </cell>
          <cell r="CE28">
            <v>864674.04</v>
          </cell>
          <cell r="CG28">
            <v>66035.789999999994</v>
          </cell>
        </row>
        <row r="29">
          <cell r="B29">
            <v>349</v>
          </cell>
          <cell r="C29">
            <v>4</v>
          </cell>
          <cell r="D29" t="str">
            <v>ES</v>
          </cell>
          <cell r="E29">
            <v>435</v>
          </cell>
          <cell r="F29">
            <v>-17</v>
          </cell>
          <cell r="G29">
            <v>312</v>
          </cell>
          <cell r="H29">
            <v>195</v>
          </cell>
          <cell r="I29">
            <v>0.44827586206896552</v>
          </cell>
          <cell r="J29">
            <v>59.996651785714285</v>
          </cell>
          <cell r="K29">
            <v>219.98772321428572</v>
          </cell>
          <cell r="L29">
            <v>198942.26</v>
          </cell>
          <cell r="O29">
            <v>71961.03</v>
          </cell>
          <cell r="P29">
            <v>6675.95</v>
          </cell>
          <cell r="Q29">
            <v>79024.509999999995</v>
          </cell>
          <cell r="R29">
            <v>60058.83</v>
          </cell>
          <cell r="S29">
            <v>102374.53</v>
          </cell>
          <cell r="T29">
            <v>113832.45</v>
          </cell>
          <cell r="U29">
            <v>569162.23</v>
          </cell>
          <cell r="W29">
            <v>455329.78</v>
          </cell>
          <cell r="X29">
            <v>352497.84</v>
          </cell>
          <cell r="Y29">
            <v>220403.7</v>
          </cell>
          <cell r="AG29">
            <v>1863576</v>
          </cell>
          <cell r="AH29">
            <v>141375</v>
          </cell>
          <cell r="AI29">
            <v>113832.45</v>
          </cell>
          <cell r="AJ29">
            <v>227664.89</v>
          </cell>
          <cell r="AK29">
            <v>455329.78</v>
          </cell>
          <cell r="AL29">
            <v>341497.34</v>
          </cell>
          <cell r="AM29">
            <v>234998.56</v>
          </cell>
          <cell r="AQ29">
            <v>107514</v>
          </cell>
          <cell r="AS29">
            <v>1138324.46</v>
          </cell>
          <cell r="AV29">
            <v>394218</v>
          </cell>
          <cell r="BD29">
            <v>155860.18</v>
          </cell>
          <cell r="BE29">
            <v>2510.52</v>
          </cell>
          <cell r="BV29">
            <v>15325</v>
          </cell>
          <cell r="CB29">
            <v>523088.28</v>
          </cell>
          <cell r="CC29">
            <v>25086.6</v>
          </cell>
          <cell r="CD29">
            <v>423449.97</v>
          </cell>
          <cell r="CE29">
            <v>62617.38</v>
          </cell>
          <cell r="CG29">
            <v>75085.33</v>
          </cell>
        </row>
        <row r="30">
          <cell r="B30">
            <v>231</v>
          </cell>
          <cell r="C30">
            <v>7</v>
          </cell>
          <cell r="D30" t="str">
            <v>ES</v>
          </cell>
          <cell r="E30">
            <v>192</v>
          </cell>
          <cell r="F30">
            <v>-31</v>
          </cell>
          <cell r="G30">
            <v>140</v>
          </cell>
          <cell r="H30">
            <v>150</v>
          </cell>
          <cell r="I30">
            <v>0.78125</v>
          </cell>
          <cell r="J30">
            <v>28.99838169642857</v>
          </cell>
          <cell r="K30">
            <v>4.9997209821428568</v>
          </cell>
          <cell r="L30">
            <v>198942.26</v>
          </cell>
          <cell r="O30">
            <v>71961.03</v>
          </cell>
          <cell r="P30">
            <v>6456.75</v>
          </cell>
          <cell r="Q30">
            <v>79024.509999999995</v>
          </cell>
          <cell r="R30">
            <v>60058.83</v>
          </cell>
          <cell r="S30">
            <v>51187.26</v>
          </cell>
          <cell r="T30">
            <v>113832.45</v>
          </cell>
          <cell r="U30">
            <v>113832.45</v>
          </cell>
          <cell r="V30">
            <v>113832.45</v>
          </cell>
          <cell r="W30">
            <v>113832.45</v>
          </cell>
          <cell r="X30">
            <v>117499.28</v>
          </cell>
          <cell r="Y30">
            <v>93178.8</v>
          </cell>
          <cell r="AG30">
            <v>836220</v>
          </cell>
          <cell r="AH30">
            <v>62400</v>
          </cell>
          <cell r="AI30">
            <v>113832.45</v>
          </cell>
          <cell r="AJ30">
            <v>113832.45</v>
          </cell>
          <cell r="AK30">
            <v>341497.34</v>
          </cell>
          <cell r="AL30">
            <v>341497.34</v>
          </cell>
          <cell r="AM30">
            <v>234998.56</v>
          </cell>
          <cell r="AQ30">
            <v>51965.1</v>
          </cell>
          <cell r="AT30">
            <v>26181.46</v>
          </cell>
          <cell r="AV30">
            <v>8959.5</v>
          </cell>
          <cell r="AW30">
            <v>13600</v>
          </cell>
          <cell r="AX30">
            <v>6800</v>
          </cell>
          <cell r="AY30">
            <v>10200</v>
          </cell>
          <cell r="BA30">
            <v>13600</v>
          </cell>
          <cell r="BC30">
            <v>6800</v>
          </cell>
          <cell r="BD30">
            <v>103906.79</v>
          </cell>
          <cell r="BE30">
            <v>1673.68</v>
          </cell>
          <cell r="BV30">
            <v>15325</v>
          </cell>
          <cell r="CB30">
            <v>402375.6</v>
          </cell>
          <cell r="CC30">
            <v>87444.72</v>
          </cell>
          <cell r="CD30">
            <v>5799.04</v>
          </cell>
          <cell r="CE30">
            <v>47129.71</v>
          </cell>
          <cell r="CF30">
            <v>228017.71</v>
          </cell>
        </row>
        <row r="31">
          <cell r="B31">
            <v>467</v>
          </cell>
          <cell r="C31">
            <v>5</v>
          </cell>
          <cell r="D31" t="str">
            <v>HS</v>
          </cell>
          <cell r="E31">
            <v>829</v>
          </cell>
          <cell r="F31">
            <v>167</v>
          </cell>
          <cell r="G31">
            <v>829</v>
          </cell>
          <cell r="H31">
            <v>585</v>
          </cell>
          <cell r="I31">
            <v>0.7056694813027744</v>
          </cell>
          <cell r="J31">
            <v>175.99017857142857</v>
          </cell>
          <cell r="K31">
            <v>33.998102678571428</v>
          </cell>
          <cell r="L31">
            <v>198942.26</v>
          </cell>
          <cell r="N31">
            <v>449487.26</v>
          </cell>
          <cell r="O31">
            <v>71961.03</v>
          </cell>
          <cell r="P31">
            <v>25415.23</v>
          </cell>
          <cell r="Q31">
            <v>79024.509999999995</v>
          </cell>
          <cell r="R31">
            <v>60058.83</v>
          </cell>
          <cell r="S31">
            <v>409498.11</v>
          </cell>
          <cell r="T31">
            <v>113832.45</v>
          </cell>
          <cell r="AC31">
            <v>341497.34</v>
          </cell>
          <cell r="AF31">
            <v>227664.89</v>
          </cell>
          <cell r="AG31">
            <v>4951617</v>
          </cell>
          <cell r="AH31">
            <v>491597</v>
          </cell>
          <cell r="AI31">
            <v>227664.89</v>
          </cell>
          <cell r="AJ31">
            <v>455329.78</v>
          </cell>
          <cell r="AK31">
            <v>1252156.9099999999</v>
          </cell>
          <cell r="AL31">
            <v>682994.68</v>
          </cell>
          <cell r="AM31">
            <v>313331.40999999997</v>
          </cell>
          <cell r="AO31">
            <v>57558.06</v>
          </cell>
          <cell r="AQ31">
            <v>315374.40000000002</v>
          </cell>
          <cell r="AS31">
            <v>227664.89</v>
          </cell>
          <cell r="AV31">
            <v>60924.6</v>
          </cell>
          <cell r="AZ31">
            <v>75000</v>
          </cell>
          <cell r="BD31">
            <v>369734.98</v>
          </cell>
          <cell r="BE31">
            <v>5955.52</v>
          </cell>
          <cell r="BH31">
            <v>158559.82</v>
          </cell>
          <cell r="BI31">
            <v>12216.09</v>
          </cell>
          <cell r="BJ31">
            <v>23000</v>
          </cell>
          <cell r="BK31">
            <v>39600</v>
          </cell>
          <cell r="BR31">
            <v>113832.45</v>
          </cell>
          <cell r="BT31">
            <v>140941</v>
          </cell>
          <cell r="BU31">
            <v>5000</v>
          </cell>
          <cell r="BX31">
            <v>244049</v>
          </cell>
          <cell r="BY31">
            <v>147878.60999999999</v>
          </cell>
          <cell r="CB31">
            <v>1711437.55</v>
          </cell>
          <cell r="CC31">
            <v>308326.26</v>
          </cell>
        </row>
        <row r="32">
          <cell r="B32">
            <v>457</v>
          </cell>
          <cell r="C32">
            <v>6</v>
          </cell>
          <cell r="D32" t="str">
            <v>HS</v>
          </cell>
          <cell r="E32">
            <v>768</v>
          </cell>
          <cell r="F32">
            <v>-2</v>
          </cell>
          <cell r="G32">
            <v>768</v>
          </cell>
          <cell r="H32">
            <v>566</v>
          </cell>
          <cell r="I32">
            <v>0.73697916666666663</v>
          </cell>
          <cell r="J32">
            <v>236.98677455357142</v>
          </cell>
          <cell r="K32">
            <v>33.998102678571428</v>
          </cell>
          <cell r="L32">
            <v>198942.26</v>
          </cell>
          <cell r="N32">
            <v>449487.26</v>
          </cell>
          <cell r="O32">
            <v>71961.03</v>
          </cell>
          <cell r="P32">
            <v>26995.83</v>
          </cell>
          <cell r="Q32">
            <v>79024.509999999995</v>
          </cell>
          <cell r="R32">
            <v>60058.83</v>
          </cell>
          <cell r="S32">
            <v>460685.38</v>
          </cell>
          <cell r="T32">
            <v>113832.45</v>
          </cell>
          <cell r="AC32">
            <v>113832.45</v>
          </cell>
          <cell r="AD32">
            <v>85909.9</v>
          </cell>
          <cell r="AF32">
            <v>227664.89</v>
          </cell>
          <cell r="AG32">
            <v>4587264</v>
          </cell>
          <cell r="AH32">
            <v>455424</v>
          </cell>
          <cell r="AI32">
            <v>227664.89</v>
          </cell>
          <cell r="AJ32">
            <v>569162.23</v>
          </cell>
          <cell r="AK32">
            <v>1479821.8</v>
          </cell>
          <cell r="AL32">
            <v>1138324.46</v>
          </cell>
          <cell r="AM32">
            <v>509163.55</v>
          </cell>
          <cell r="AO32">
            <v>115116.11</v>
          </cell>
          <cell r="AQ32">
            <v>424680.3</v>
          </cell>
          <cell r="AS32">
            <v>227664.89</v>
          </cell>
          <cell r="AV32">
            <v>60924.6</v>
          </cell>
          <cell r="AZ32">
            <v>65000</v>
          </cell>
          <cell r="BD32">
            <v>395711.68</v>
          </cell>
          <cell r="BE32">
            <v>6373.94</v>
          </cell>
          <cell r="BH32">
            <v>158559.82</v>
          </cell>
          <cell r="BI32">
            <v>25716.09</v>
          </cell>
          <cell r="BJ32">
            <v>19500</v>
          </cell>
          <cell r="BK32">
            <v>17200</v>
          </cell>
          <cell r="BL32">
            <v>119483.41</v>
          </cell>
          <cell r="BM32">
            <v>31287</v>
          </cell>
          <cell r="BX32">
            <v>76280</v>
          </cell>
          <cell r="BY32">
            <v>147878.60999999999</v>
          </cell>
          <cell r="CB32">
            <v>1720155.69</v>
          </cell>
          <cell r="CC32">
            <v>343089.12</v>
          </cell>
        </row>
        <row r="33">
          <cell r="B33">
            <v>232</v>
          </cell>
          <cell r="C33">
            <v>3</v>
          </cell>
          <cell r="D33" t="str">
            <v>ES</v>
          </cell>
          <cell r="E33">
            <v>419</v>
          </cell>
          <cell r="F33">
            <v>-25</v>
          </cell>
          <cell r="G33">
            <v>380</v>
          </cell>
          <cell r="H33">
            <v>32</v>
          </cell>
          <cell r="I33">
            <v>7.6372315035799526E-2</v>
          </cell>
          <cell r="J33">
            <v>45.99743303571428</v>
          </cell>
          <cell r="K33">
            <v>55.996874999999996</v>
          </cell>
          <cell r="L33">
            <v>198942.26</v>
          </cell>
          <cell r="O33">
            <v>71961.03</v>
          </cell>
          <cell r="P33">
            <v>6988.6</v>
          </cell>
          <cell r="Q33">
            <v>79024.509999999995</v>
          </cell>
          <cell r="R33">
            <v>60058.83</v>
          </cell>
          <cell r="S33">
            <v>102374.53</v>
          </cell>
          <cell r="T33">
            <v>113832.45</v>
          </cell>
          <cell r="W33">
            <v>227664.89</v>
          </cell>
          <cell r="X33">
            <v>78332.850000000006</v>
          </cell>
          <cell r="Y33">
            <v>69884.100000000006</v>
          </cell>
          <cell r="AG33">
            <v>2269740</v>
          </cell>
          <cell r="AH33">
            <v>136175</v>
          </cell>
          <cell r="AI33">
            <v>113832.45</v>
          </cell>
          <cell r="AJ33">
            <v>113832.45</v>
          </cell>
          <cell r="AK33">
            <v>341497.34</v>
          </cell>
          <cell r="AL33">
            <v>113832.45</v>
          </cell>
          <cell r="AM33">
            <v>39166.43</v>
          </cell>
          <cell r="AO33">
            <v>57558.06</v>
          </cell>
          <cell r="AQ33">
            <v>82427.399999999994</v>
          </cell>
          <cell r="AS33">
            <v>341497.34</v>
          </cell>
          <cell r="AV33">
            <v>100346.4</v>
          </cell>
          <cell r="BF33">
            <v>10475</v>
          </cell>
          <cell r="CB33">
            <v>85840.13</v>
          </cell>
          <cell r="CD33">
            <v>140248.91</v>
          </cell>
          <cell r="CE33">
            <v>229961.2</v>
          </cell>
          <cell r="CF33">
            <v>364853.33</v>
          </cell>
        </row>
        <row r="34">
          <cell r="B34">
            <v>407</v>
          </cell>
          <cell r="C34">
            <v>6</v>
          </cell>
          <cell r="D34" t="str">
            <v>MS</v>
          </cell>
          <cell r="E34">
            <v>321</v>
          </cell>
          <cell r="F34">
            <v>43</v>
          </cell>
          <cell r="G34">
            <v>321</v>
          </cell>
          <cell r="H34">
            <v>187</v>
          </cell>
          <cell r="I34">
            <v>0.58255451713395634</v>
          </cell>
          <cell r="J34">
            <v>71.995982142857144</v>
          </cell>
          <cell r="K34">
            <v>2.9998325892857141</v>
          </cell>
          <cell r="L34">
            <v>198942.26</v>
          </cell>
          <cell r="M34">
            <v>113832.45</v>
          </cell>
          <cell r="O34">
            <v>71961.03</v>
          </cell>
          <cell r="P34">
            <v>13205.35</v>
          </cell>
          <cell r="Q34">
            <v>79024.509999999995</v>
          </cell>
          <cell r="R34">
            <v>60058.83</v>
          </cell>
          <cell r="S34">
            <v>255936.32</v>
          </cell>
          <cell r="T34">
            <v>113832.45</v>
          </cell>
          <cell r="AG34">
            <v>1917333</v>
          </cell>
          <cell r="AH34">
            <v>109782</v>
          </cell>
          <cell r="AI34">
            <v>113832.45</v>
          </cell>
          <cell r="AJ34">
            <v>341497.34</v>
          </cell>
          <cell r="AK34">
            <v>569162.23</v>
          </cell>
          <cell r="AL34">
            <v>455329.78</v>
          </cell>
          <cell r="AM34">
            <v>234998.56</v>
          </cell>
          <cell r="AQ34">
            <v>129016.8</v>
          </cell>
          <cell r="AT34">
            <v>15936.54</v>
          </cell>
          <cell r="AV34">
            <v>5375.7</v>
          </cell>
          <cell r="BD34">
            <v>148933.06</v>
          </cell>
          <cell r="BE34">
            <v>2398.94</v>
          </cell>
          <cell r="BL34">
            <v>119483.41</v>
          </cell>
          <cell r="BM34">
            <v>19687</v>
          </cell>
          <cell r="BX34">
            <v>111842</v>
          </cell>
          <cell r="CB34">
            <v>501628.25</v>
          </cell>
          <cell r="CC34">
            <v>70003.56</v>
          </cell>
        </row>
        <row r="35">
          <cell r="B35">
            <v>471</v>
          </cell>
          <cell r="C35">
            <v>2</v>
          </cell>
          <cell r="D35" t="str">
            <v>HS</v>
          </cell>
          <cell r="E35">
            <v>581</v>
          </cell>
          <cell r="F35">
            <v>-30</v>
          </cell>
          <cell r="G35">
            <v>581</v>
          </cell>
          <cell r="H35">
            <v>178</v>
          </cell>
          <cell r="I35">
            <v>0.30636833046471601</v>
          </cell>
          <cell r="J35">
            <v>40.997712053571426</v>
          </cell>
          <cell r="K35">
            <v>10.999386160714286</v>
          </cell>
          <cell r="L35">
            <v>198942.26</v>
          </cell>
          <cell r="N35">
            <v>321062.33</v>
          </cell>
          <cell r="O35">
            <v>71961.03</v>
          </cell>
          <cell r="P35">
            <v>22022.68</v>
          </cell>
          <cell r="Q35">
            <v>79024.509999999995</v>
          </cell>
          <cell r="R35">
            <v>60058.83</v>
          </cell>
          <cell r="S35">
            <v>358310.85</v>
          </cell>
          <cell r="T35">
            <v>113832.45</v>
          </cell>
          <cell r="AG35">
            <v>3470313</v>
          </cell>
          <cell r="AH35">
            <v>344533</v>
          </cell>
          <cell r="AI35">
            <v>170748.67</v>
          </cell>
          <cell r="AJ35">
            <v>227664.89</v>
          </cell>
          <cell r="AK35">
            <v>455329.78</v>
          </cell>
          <cell r="AQ35">
            <v>73467.899999999994</v>
          </cell>
          <cell r="AS35">
            <v>113832.45</v>
          </cell>
          <cell r="AV35">
            <v>19710.900000000001</v>
          </cell>
          <cell r="BF35">
            <v>14525</v>
          </cell>
          <cell r="BW35">
            <v>3233529</v>
          </cell>
          <cell r="CB35">
            <v>529123.91</v>
          </cell>
        </row>
        <row r="36">
          <cell r="B36">
            <v>318</v>
          </cell>
          <cell r="C36">
            <v>8</v>
          </cell>
          <cell r="D36" t="str">
            <v>EC</v>
          </cell>
          <cell r="E36">
            <v>498</v>
          </cell>
          <cell r="F36">
            <v>42</v>
          </cell>
          <cell r="G36">
            <v>422</v>
          </cell>
          <cell r="H36">
            <v>394</v>
          </cell>
          <cell r="I36">
            <v>0.79116465863453811</v>
          </cell>
          <cell r="J36">
            <v>30.998270089285715</v>
          </cell>
          <cell r="K36">
            <v>0.99994419642857146</v>
          </cell>
          <cell r="L36">
            <v>198942.26</v>
          </cell>
          <cell r="M36">
            <v>56916.22</v>
          </cell>
          <cell r="O36">
            <v>71961.03</v>
          </cell>
          <cell r="P36">
            <v>6554.65</v>
          </cell>
          <cell r="Q36">
            <v>79024.509999999995</v>
          </cell>
          <cell r="R36">
            <v>60058.83</v>
          </cell>
          <cell r="S36">
            <v>102374.53</v>
          </cell>
          <cell r="T36">
            <v>113832.45</v>
          </cell>
          <cell r="U36">
            <v>341497.34</v>
          </cell>
          <cell r="W36">
            <v>341497.34</v>
          </cell>
          <cell r="X36">
            <v>234998.56</v>
          </cell>
          <cell r="Y36">
            <v>136184.4</v>
          </cell>
          <cell r="AB36">
            <v>630151.5</v>
          </cell>
          <cell r="AG36">
            <v>2520606</v>
          </cell>
          <cell r="AH36">
            <v>164340</v>
          </cell>
          <cell r="AI36">
            <v>113832.45</v>
          </cell>
          <cell r="AJ36">
            <v>227664.89</v>
          </cell>
          <cell r="AK36">
            <v>455329.78</v>
          </cell>
          <cell r="AL36">
            <v>341497.34</v>
          </cell>
          <cell r="AM36">
            <v>195832.13</v>
          </cell>
          <cell r="AQ36">
            <v>55548.9</v>
          </cell>
          <cell r="AT36">
            <v>5691.62</v>
          </cell>
          <cell r="AV36">
            <v>1791.9</v>
          </cell>
          <cell r="AW36">
            <v>34000</v>
          </cell>
          <cell r="AX36">
            <v>27200</v>
          </cell>
          <cell r="AY36">
            <v>10200</v>
          </cell>
          <cell r="BA36">
            <v>27200</v>
          </cell>
          <cell r="BC36">
            <v>20400</v>
          </cell>
          <cell r="BD36">
            <v>269508.23</v>
          </cell>
          <cell r="BE36">
            <v>4341.1099999999997</v>
          </cell>
          <cell r="BV36">
            <v>15325</v>
          </cell>
          <cell r="CB36">
            <v>1056906.58</v>
          </cell>
          <cell r="CC36">
            <v>232708.08</v>
          </cell>
        </row>
        <row r="37">
          <cell r="B37">
            <v>238</v>
          </cell>
          <cell r="C37">
            <v>8</v>
          </cell>
          <cell r="D37" t="str">
            <v>ES</v>
          </cell>
          <cell r="E37">
            <v>251</v>
          </cell>
          <cell r="F37">
            <v>12</v>
          </cell>
          <cell r="G37">
            <v>202</v>
          </cell>
          <cell r="H37">
            <v>211</v>
          </cell>
          <cell r="I37">
            <v>0.84063745019920322</v>
          </cell>
          <cell r="J37">
            <v>47.997321428571425</v>
          </cell>
          <cell r="K37">
            <v>0.99994419642857146</v>
          </cell>
          <cell r="L37">
            <v>198942.26</v>
          </cell>
          <cell r="O37">
            <v>71961.03</v>
          </cell>
          <cell r="P37">
            <v>5599.7</v>
          </cell>
          <cell r="Q37">
            <v>79024.509999999995</v>
          </cell>
          <cell r="R37">
            <v>60058.83</v>
          </cell>
          <cell r="S37">
            <v>51187.26</v>
          </cell>
          <cell r="T37">
            <v>113832.45</v>
          </cell>
          <cell r="U37">
            <v>113832.45</v>
          </cell>
          <cell r="V37">
            <v>113832.45</v>
          </cell>
          <cell r="W37">
            <v>113832.45</v>
          </cell>
          <cell r="X37">
            <v>117499.28</v>
          </cell>
          <cell r="Y37">
            <v>87803.1</v>
          </cell>
          <cell r="AG37">
            <v>1206546</v>
          </cell>
          <cell r="AH37">
            <v>81575</v>
          </cell>
          <cell r="AI37">
            <v>113832.45</v>
          </cell>
          <cell r="AJ37">
            <v>113832.45</v>
          </cell>
          <cell r="AK37">
            <v>341497.34</v>
          </cell>
          <cell r="AL37">
            <v>341497.34</v>
          </cell>
          <cell r="AM37">
            <v>234998.56</v>
          </cell>
          <cell r="AQ37">
            <v>86011.199999999997</v>
          </cell>
          <cell r="AT37">
            <v>5691.62</v>
          </cell>
          <cell r="AV37">
            <v>1791.9</v>
          </cell>
          <cell r="AW37">
            <v>20400</v>
          </cell>
          <cell r="AX37">
            <v>13600</v>
          </cell>
          <cell r="AY37">
            <v>10200</v>
          </cell>
          <cell r="BA37">
            <v>20400</v>
          </cell>
          <cell r="BC37">
            <v>13600</v>
          </cell>
          <cell r="BD37">
            <v>135836.48000000001</v>
          </cell>
          <cell r="BE37">
            <v>2187.9899999999998</v>
          </cell>
          <cell r="BV37">
            <v>15325</v>
          </cell>
          <cell r="CB37">
            <v>566008.34</v>
          </cell>
          <cell r="CC37">
            <v>132122.76</v>
          </cell>
          <cell r="CF37">
            <v>360673.1</v>
          </cell>
        </row>
        <row r="38">
          <cell r="B38">
            <v>239</v>
          </cell>
          <cell r="C38">
            <v>2</v>
          </cell>
          <cell r="D38" t="str">
            <v>ES</v>
          </cell>
          <cell r="E38">
            <v>354</v>
          </cell>
          <cell r="F38">
            <v>18</v>
          </cell>
          <cell r="G38">
            <v>277</v>
          </cell>
          <cell r="H38">
            <v>148</v>
          </cell>
          <cell r="I38">
            <v>0.41807909604519772</v>
          </cell>
          <cell r="J38">
            <v>78.99559151785715</v>
          </cell>
          <cell r="K38">
            <v>99.994419642857139</v>
          </cell>
          <cell r="L38">
            <v>198942.26</v>
          </cell>
          <cell r="O38">
            <v>71961.03</v>
          </cell>
          <cell r="P38">
            <v>5466</v>
          </cell>
          <cell r="Q38">
            <v>79024.509999999995</v>
          </cell>
          <cell r="R38">
            <v>60058.83</v>
          </cell>
          <cell r="S38">
            <v>102374.53</v>
          </cell>
          <cell r="T38">
            <v>113832.45</v>
          </cell>
          <cell r="U38">
            <v>227664.89</v>
          </cell>
          <cell r="V38">
            <v>113832.45</v>
          </cell>
          <cell r="W38">
            <v>227664.89</v>
          </cell>
          <cell r="X38">
            <v>195832.13</v>
          </cell>
          <cell r="Y38">
            <v>137976.29999999999</v>
          </cell>
          <cell r="AG38">
            <v>1654521</v>
          </cell>
          <cell r="AH38">
            <v>115050</v>
          </cell>
          <cell r="AI38">
            <v>113832.45</v>
          </cell>
          <cell r="AJ38">
            <v>113832.45</v>
          </cell>
          <cell r="AK38">
            <v>455329.78</v>
          </cell>
          <cell r="AL38">
            <v>455329.78</v>
          </cell>
          <cell r="AM38">
            <v>234998.56</v>
          </cell>
          <cell r="AQ38">
            <v>141560.1</v>
          </cell>
          <cell r="AS38">
            <v>569162.23</v>
          </cell>
          <cell r="AV38">
            <v>179190</v>
          </cell>
          <cell r="AW38">
            <v>20400</v>
          </cell>
          <cell r="AX38">
            <v>13600</v>
          </cell>
          <cell r="AY38">
            <v>10200</v>
          </cell>
          <cell r="BA38">
            <v>20400</v>
          </cell>
          <cell r="BC38">
            <v>13600</v>
          </cell>
          <cell r="BD38">
            <v>85723.1</v>
          </cell>
          <cell r="BE38">
            <v>1380.79</v>
          </cell>
          <cell r="BV38">
            <v>15325</v>
          </cell>
          <cell r="CB38">
            <v>397010.59</v>
          </cell>
          <cell r="CC38">
            <v>7645.44</v>
          </cell>
        </row>
        <row r="39">
          <cell r="B39">
            <v>227</v>
          </cell>
          <cell r="C39">
            <v>1</v>
          </cell>
          <cell r="D39" t="str">
            <v>ES</v>
          </cell>
          <cell r="E39">
            <v>366</v>
          </cell>
          <cell r="F39">
            <v>-44</v>
          </cell>
          <cell r="G39">
            <v>293</v>
          </cell>
          <cell r="H39">
            <v>181</v>
          </cell>
          <cell r="I39">
            <v>0.49453551912568305</v>
          </cell>
          <cell r="J39">
            <v>77.995647321428578</v>
          </cell>
          <cell r="K39">
            <v>187.98950892857144</v>
          </cell>
          <cell r="L39">
            <v>198942.26</v>
          </cell>
          <cell r="O39">
            <v>71961.03</v>
          </cell>
          <cell r="P39">
            <v>6775.6</v>
          </cell>
          <cell r="Q39">
            <v>79024.509999999995</v>
          </cell>
          <cell r="R39">
            <v>60058.83</v>
          </cell>
          <cell r="S39">
            <v>102374.53</v>
          </cell>
          <cell r="T39">
            <v>113832.45</v>
          </cell>
          <cell r="U39">
            <v>227664.89</v>
          </cell>
          <cell r="W39">
            <v>341497.34</v>
          </cell>
          <cell r="X39">
            <v>195832.13</v>
          </cell>
          <cell r="Y39">
            <v>130808.7</v>
          </cell>
          <cell r="AG39">
            <v>1750089</v>
          </cell>
          <cell r="AH39">
            <v>118950</v>
          </cell>
          <cell r="AI39">
            <v>113832.45</v>
          </cell>
          <cell r="AJ39">
            <v>227664.89</v>
          </cell>
          <cell r="AK39">
            <v>341497.34</v>
          </cell>
          <cell r="AL39">
            <v>341497.34</v>
          </cell>
          <cell r="AM39">
            <v>195832.13</v>
          </cell>
          <cell r="AQ39">
            <v>139768.20000000001</v>
          </cell>
          <cell r="AS39">
            <v>1024492.02</v>
          </cell>
          <cell r="AU39">
            <v>39166.43</v>
          </cell>
          <cell r="AV39">
            <v>336877.2</v>
          </cell>
          <cell r="BD39">
            <v>144603.60999999999</v>
          </cell>
          <cell r="BE39">
            <v>2329.21</v>
          </cell>
          <cell r="BN39">
            <v>119483.41</v>
          </cell>
          <cell r="BO39">
            <v>3000</v>
          </cell>
          <cell r="BV39">
            <v>15325</v>
          </cell>
          <cell r="CB39">
            <v>485533.22</v>
          </cell>
          <cell r="CC39">
            <v>41333.160000000003</v>
          </cell>
          <cell r="CD39">
            <v>287627.36</v>
          </cell>
          <cell r="CE39">
            <v>367699.59</v>
          </cell>
        </row>
        <row r="40">
          <cell r="B40">
            <v>246</v>
          </cell>
          <cell r="C40">
            <v>2</v>
          </cell>
          <cell r="D40" t="str">
            <v>MS</v>
          </cell>
          <cell r="E40">
            <v>556</v>
          </cell>
          <cell r="F40">
            <v>31</v>
          </cell>
          <cell r="G40">
            <v>556</v>
          </cell>
          <cell r="H40">
            <v>77</v>
          </cell>
          <cell r="I40">
            <v>0.13848920863309352</v>
          </cell>
          <cell r="J40">
            <v>59.996651785714285</v>
          </cell>
          <cell r="K40">
            <v>33.998102678571428</v>
          </cell>
          <cell r="L40">
            <v>198942.26</v>
          </cell>
          <cell r="M40">
            <v>170748.67</v>
          </cell>
          <cell r="O40">
            <v>71961.03</v>
          </cell>
          <cell r="P40">
            <v>7038.2</v>
          </cell>
          <cell r="Q40">
            <v>79024.509999999995</v>
          </cell>
          <cell r="R40">
            <v>60058.83</v>
          </cell>
          <cell r="S40">
            <v>153561.79</v>
          </cell>
          <cell r="T40">
            <v>113832.45</v>
          </cell>
          <cell r="AG40">
            <v>3320988</v>
          </cell>
          <cell r="AH40">
            <v>190152</v>
          </cell>
          <cell r="AI40">
            <v>113832.45</v>
          </cell>
          <cell r="AJ40">
            <v>227664.89</v>
          </cell>
          <cell r="AK40">
            <v>569162.23</v>
          </cell>
          <cell r="AL40">
            <v>569162.23</v>
          </cell>
          <cell r="AM40">
            <v>274164.99</v>
          </cell>
          <cell r="AQ40">
            <v>107514</v>
          </cell>
          <cell r="AS40">
            <v>227664.89</v>
          </cell>
          <cell r="AV40">
            <v>60924.6</v>
          </cell>
          <cell r="BF40">
            <v>13900</v>
          </cell>
          <cell r="BX40">
            <v>55921</v>
          </cell>
          <cell r="CB40">
            <v>206552.81</v>
          </cell>
        </row>
        <row r="41">
          <cell r="B41">
            <v>413</v>
          </cell>
          <cell r="C41">
            <v>8</v>
          </cell>
          <cell r="D41" t="str">
            <v>MS</v>
          </cell>
          <cell r="E41">
            <v>431</v>
          </cell>
          <cell r="F41">
            <v>-44</v>
          </cell>
          <cell r="G41">
            <v>431</v>
          </cell>
          <cell r="H41">
            <v>341</v>
          </cell>
          <cell r="I41">
            <v>0.79118329466357307</v>
          </cell>
          <cell r="J41">
            <v>72.995926339285717</v>
          </cell>
          <cell r="K41">
            <v>5.9996651785714281</v>
          </cell>
          <cell r="L41">
            <v>198942.26</v>
          </cell>
          <cell r="M41">
            <v>170748.67</v>
          </cell>
          <cell r="O41">
            <v>71961.03</v>
          </cell>
          <cell r="P41">
            <v>12199.05</v>
          </cell>
          <cell r="Q41">
            <v>79024.509999999995</v>
          </cell>
          <cell r="R41">
            <v>60058.83</v>
          </cell>
          <cell r="S41">
            <v>204749.06</v>
          </cell>
          <cell r="T41">
            <v>113832.45</v>
          </cell>
          <cell r="AG41">
            <v>2574363</v>
          </cell>
          <cell r="AH41">
            <v>147402</v>
          </cell>
          <cell r="AI41">
            <v>113832.45</v>
          </cell>
          <cell r="AJ41">
            <v>455329.78</v>
          </cell>
          <cell r="AK41">
            <v>569162.23</v>
          </cell>
          <cell r="AL41">
            <v>455329.78</v>
          </cell>
          <cell r="AM41">
            <v>156665.71</v>
          </cell>
          <cell r="AO41">
            <v>115116.11</v>
          </cell>
          <cell r="AQ41">
            <v>130808.7</v>
          </cell>
          <cell r="AT41">
            <v>30734.76</v>
          </cell>
          <cell r="AV41">
            <v>10751.4</v>
          </cell>
          <cell r="AW41">
            <v>13600</v>
          </cell>
          <cell r="AX41">
            <v>13600</v>
          </cell>
          <cell r="AY41">
            <v>10200</v>
          </cell>
          <cell r="BA41">
            <v>6800</v>
          </cell>
          <cell r="BC41">
            <v>6800</v>
          </cell>
          <cell r="BD41">
            <v>233249.09</v>
          </cell>
          <cell r="BE41">
            <v>3757.07</v>
          </cell>
          <cell r="BX41">
            <v>179117</v>
          </cell>
          <cell r="CB41">
            <v>914733.86</v>
          </cell>
          <cell r="CC41">
            <v>248357.34</v>
          </cell>
        </row>
        <row r="42">
          <cell r="B42">
            <v>258</v>
          </cell>
          <cell r="C42">
            <v>3</v>
          </cell>
          <cell r="D42" t="str">
            <v>ES</v>
          </cell>
          <cell r="E42">
            <v>354</v>
          </cell>
          <cell r="F42">
            <v>0</v>
          </cell>
          <cell r="G42">
            <v>313</v>
          </cell>
          <cell r="H42">
            <v>30</v>
          </cell>
          <cell r="I42">
            <v>8.4745762711864403E-2</v>
          </cell>
          <cell r="J42">
            <v>44.997488839285715</v>
          </cell>
          <cell r="K42">
            <v>66.996261160714283</v>
          </cell>
          <cell r="L42">
            <v>198942.26</v>
          </cell>
          <cell r="O42">
            <v>71961.03</v>
          </cell>
          <cell r="P42">
            <v>5460.2</v>
          </cell>
          <cell r="Q42">
            <v>79024.509999999995</v>
          </cell>
          <cell r="R42">
            <v>60058.83</v>
          </cell>
          <cell r="S42">
            <v>102374.53</v>
          </cell>
          <cell r="T42">
            <v>113832.45</v>
          </cell>
          <cell r="W42">
            <v>227664.89</v>
          </cell>
          <cell r="X42">
            <v>78332.850000000006</v>
          </cell>
          <cell r="Y42">
            <v>73467.899999999994</v>
          </cell>
          <cell r="AG42">
            <v>1869549</v>
          </cell>
          <cell r="AH42">
            <v>115050</v>
          </cell>
          <cell r="AI42">
            <v>113832.45</v>
          </cell>
          <cell r="AJ42">
            <v>113832.45</v>
          </cell>
          <cell r="AK42">
            <v>341497.34</v>
          </cell>
          <cell r="AL42">
            <v>341497.34</v>
          </cell>
          <cell r="AM42">
            <v>234998.56</v>
          </cell>
          <cell r="AQ42">
            <v>80635.5</v>
          </cell>
          <cell r="AS42">
            <v>398413.56</v>
          </cell>
          <cell r="AV42">
            <v>120057.3</v>
          </cell>
          <cell r="BF42">
            <v>8850</v>
          </cell>
          <cell r="CB42">
            <v>80475.12</v>
          </cell>
          <cell r="CD42">
            <v>261714.11</v>
          </cell>
          <cell r="CE42">
            <v>122020.05</v>
          </cell>
          <cell r="CF42">
            <v>72735.7</v>
          </cell>
          <cell r="CG42">
            <v>70024.37</v>
          </cell>
        </row>
        <row r="43">
          <cell r="B43">
            <v>249</v>
          </cell>
          <cell r="C43">
            <v>8</v>
          </cell>
          <cell r="D43" t="str">
            <v>ES</v>
          </cell>
          <cell r="E43">
            <v>290</v>
          </cell>
          <cell r="F43">
            <v>-20</v>
          </cell>
          <cell r="G43">
            <v>235</v>
          </cell>
          <cell r="H43">
            <v>265</v>
          </cell>
          <cell r="I43">
            <v>0.91379310344827591</v>
          </cell>
          <cell r="J43">
            <v>37.99787946428571</v>
          </cell>
          <cell r="K43">
            <v>0.99994419642857146</v>
          </cell>
          <cell r="L43">
            <v>198942.26</v>
          </cell>
          <cell r="O43">
            <v>71961.03</v>
          </cell>
          <cell r="P43">
            <v>7595.1</v>
          </cell>
          <cell r="Q43">
            <v>79024.509999999995</v>
          </cell>
          <cell r="R43">
            <v>60058.83</v>
          </cell>
          <cell r="S43">
            <v>102374.53</v>
          </cell>
          <cell r="T43">
            <v>113832.45</v>
          </cell>
          <cell r="U43">
            <v>227664.89</v>
          </cell>
          <cell r="W43">
            <v>227664.89</v>
          </cell>
          <cell r="X43">
            <v>156665.71</v>
          </cell>
          <cell r="Y43">
            <v>98554.5</v>
          </cell>
          <cell r="AG43">
            <v>1403655</v>
          </cell>
          <cell r="AH43">
            <v>94250</v>
          </cell>
          <cell r="AI43">
            <v>113832.45</v>
          </cell>
          <cell r="AJ43">
            <v>227664.89</v>
          </cell>
          <cell r="AK43">
            <v>341497.34</v>
          </cell>
          <cell r="AL43">
            <v>113832.45</v>
          </cell>
          <cell r="AM43">
            <v>39166.43</v>
          </cell>
          <cell r="AQ43">
            <v>68092.2</v>
          </cell>
          <cell r="AT43">
            <v>5691.62</v>
          </cell>
          <cell r="AV43">
            <v>1791.9</v>
          </cell>
          <cell r="AW43">
            <v>20400</v>
          </cell>
          <cell r="AX43">
            <v>20400</v>
          </cell>
          <cell r="AY43">
            <v>10200</v>
          </cell>
          <cell r="BA43">
            <v>20400</v>
          </cell>
          <cell r="BC43">
            <v>20400</v>
          </cell>
          <cell r="BD43">
            <v>156942.54</v>
          </cell>
          <cell r="BE43">
            <v>2527.96</v>
          </cell>
          <cell r="BV43">
            <v>15325</v>
          </cell>
          <cell r="CB43">
            <v>710863.56</v>
          </cell>
          <cell r="CC43">
            <v>177995.4</v>
          </cell>
          <cell r="CD43">
            <v>282625.77</v>
          </cell>
          <cell r="CE43">
            <v>168048.84</v>
          </cell>
          <cell r="CF43">
            <v>238691.51</v>
          </cell>
          <cell r="CG43">
            <v>221930.77</v>
          </cell>
        </row>
        <row r="44">
          <cell r="B44">
            <v>251</v>
          </cell>
          <cell r="C44">
            <v>7</v>
          </cell>
          <cell r="D44" t="str">
            <v>ES</v>
          </cell>
          <cell r="E44">
            <v>280</v>
          </cell>
          <cell r="F44">
            <v>-2</v>
          </cell>
          <cell r="G44">
            <v>213</v>
          </cell>
          <cell r="H44">
            <v>197</v>
          </cell>
          <cell r="I44">
            <v>0.70357142857142863</v>
          </cell>
          <cell r="J44">
            <v>67.996205357142856</v>
          </cell>
          <cell r="K44">
            <v>5.9996651785714281</v>
          </cell>
          <cell r="L44">
            <v>198942.26</v>
          </cell>
          <cell r="O44">
            <v>71961.03</v>
          </cell>
          <cell r="P44">
            <v>5451</v>
          </cell>
          <cell r="Q44">
            <v>79024.509999999995</v>
          </cell>
          <cell r="R44">
            <v>60058.83</v>
          </cell>
          <cell r="S44">
            <v>51187.26</v>
          </cell>
          <cell r="T44">
            <v>113832.45</v>
          </cell>
          <cell r="U44">
            <v>227664.89</v>
          </cell>
          <cell r="W44">
            <v>227664.89</v>
          </cell>
          <cell r="X44">
            <v>156665.71</v>
          </cell>
          <cell r="Y44">
            <v>120057.3</v>
          </cell>
          <cell r="AG44">
            <v>1272249</v>
          </cell>
          <cell r="AH44">
            <v>91000</v>
          </cell>
          <cell r="AI44">
            <v>113832.45</v>
          </cell>
          <cell r="AJ44">
            <v>113832.45</v>
          </cell>
          <cell r="AK44">
            <v>341497.34</v>
          </cell>
          <cell r="AL44">
            <v>682994.68</v>
          </cell>
          <cell r="AM44">
            <v>469997.12</v>
          </cell>
          <cell r="AP44">
            <v>119483.41</v>
          </cell>
          <cell r="AQ44">
            <v>121849.2</v>
          </cell>
          <cell r="AT44">
            <v>30734.76</v>
          </cell>
          <cell r="AV44">
            <v>10751.4</v>
          </cell>
          <cell r="AW44">
            <v>20400</v>
          </cell>
          <cell r="AX44">
            <v>13600</v>
          </cell>
          <cell r="AY44">
            <v>10200</v>
          </cell>
          <cell r="BA44">
            <v>20400</v>
          </cell>
          <cell r="BC44">
            <v>13600</v>
          </cell>
          <cell r="BD44">
            <v>151530.73000000001</v>
          </cell>
          <cell r="BE44">
            <v>2440.79</v>
          </cell>
          <cell r="BQ44">
            <v>231327</v>
          </cell>
          <cell r="CB44">
            <v>528453.29</v>
          </cell>
          <cell r="CC44">
            <v>101541</v>
          </cell>
          <cell r="CF44">
            <v>134667.71</v>
          </cell>
        </row>
        <row r="45">
          <cell r="B45">
            <v>252</v>
          </cell>
          <cell r="C45">
            <v>2</v>
          </cell>
          <cell r="D45" t="str">
            <v>ES</v>
          </cell>
          <cell r="E45">
            <v>379</v>
          </cell>
          <cell r="F45">
            <v>-25</v>
          </cell>
          <cell r="G45">
            <v>341</v>
          </cell>
          <cell r="H45">
            <v>43</v>
          </cell>
          <cell r="I45">
            <v>0.11345646437994723</v>
          </cell>
          <cell r="J45">
            <v>35.997991071428572</v>
          </cell>
          <cell r="K45">
            <v>33.998102678571428</v>
          </cell>
          <cell r="L45">
            <v>198942.26</v>
          </cell>
          <cell r="O45">
            <v>71961.03</v>
          </cell>
          <cell r="P45">
            <v>5747.55</v>
          </cell>
          <cell r="Q45">
            <v>79024.509999999995</v>
          </cell>
          <cell r="R45">
            <v>60058.83</v>
          </cell>
          <cell r="S45">
            <v>102374.53</v>
          </cell>
          <cell r="T45">
            <v>113832.45</v>
          </cell>
          <cell r="W45">
            <v>227664.89</v>
          </cell>
          <cell r="X45">
            <v>78332.850000000006</v>
          </cell>
          <cell r="Y45">
            <v>68092.2</v>
          </cell>
          <cell r="AG45">
            <v>2036793</v>
          </cell>
          <cell r="AH45">
            <v>123175</v>
          </cell>
          <cell r="AI45">
            <v>113832.45</v>
          </cell>
          <cell r="AJ45">
            <v>113832.45</v>
          </cell>
          <cell r="AK45">
            <v>341497.34</v>
          </cell>
          <cell r="AQ45">
            <v>64508.4</v>
          </cell>
          <cell r="AS45">
            <v>227664.89</v>
          </cell>
          <cell r="AV45">
            <v>60924.6</v>
          </cell>
          <cell r="BF45">
            <v>9475</v>
          </cell>
          <cell r="CB45">
            <v>115347.67</v>
          </cell>
          <cell r="CD45">
            <v>247455.27</v>
          </cell>
          <cell r="CE45">
            <v>278070.34000000003</v>
          </cell>
          <cell r="CF45">
            <v>213792.09</v>
          </cell>
          <cell r="CG45">
            <v>274776.21999999997</v>
          </cell>
        </row>
        <row r="46">
          <cell r="B46">
            <v>1071</v>
          </cell>
          <cell r="C46">
            <v>4</v>
          </cell>
          <cell r="D46" t="str">
            <v>MS</v>
          </cell>
          <cell r="E46">
            <v>550</v>
          </cell>
          <cell r="F46">
            <v>-1</v>
          </cell>
          <cell r="G46">
            <v>550</v>
          </cell>
          <cell r="H46">
            <v>305</v>
          </cell>
          <cell r="I46">
            <v>0.55454545454545456</v>
          </cell>
          <cell r="J46">
            <v>120.99324776785714</v>
          </cell>
          <cell r="K46">
            <v>197.98895089285716</v>
          </cell>
          <cell r="L46">
            <v>198942.26</v>
          </cell>
          <cell r="M46">
            <v>170748.67</v>
          </cell>
          <cell r="O46">
            <v>71961.03</v>
          </cell>
          <cell r="P46">
            <v>7456</v>
          </cell>
          <cell r="Q46">
            <v>79024.509999999995</v>
          </cell>
          <cell r="R46">
            <v>60058.83</v>
          </cell>
          <cell r="S46">
            <v>204749.06</v>
          </cell>
          <cell r="T46">
            <v>113832.45</v>
          </cell>
          <cell r="AG46">
            <v>3285150</v>
          </cell>
          <cell r="AH46">
            <v>188100</v>
          </cell>
          <cell r="AI46">
            <v>113832.45</v>
          </cell>
          <cell r="AJ46">
            <v>227664.89</v>
          </cell>
          <cell r="AK46">
            <v>1024492.02</v>
          </cell>
          <cell r="AL46">
            <v>455329.78</v>
          </cell>
          <cell r="AM46">
            <v>234998.56</v>
          </cell>
          <cell r="AQ46">
            <v>216819.9</v>
          </cell>
          <cell r="AS46">
            <v>1024492.02</v>
          </cell>
          <cell r="AV46">
            <v>354796.2</v>
          </cell>
          <cell r="BD46">
            <v>217338.36</v>
          </cell>
          <cell r="BE46">
            <v>3500.78</v>
          </cell>
          <cell r="CB46">
            <v>818163.72</v>
          </cell>
          <cell r="CC46">
            <v>101541</v>
          </cell>
        </row>
        <row r="47">
          <cell r="B47">
            <v>339</v>
          </cell>
          <cell r="C47">
            <v>6</v>
          </cell>
          <cell r="D47" t="str">
            <v>ES</v>
          </cell>
          <cell r="E47">
            <v>431</v>
          </cell>
          <cell r="F47">
            <v>-8</v>
          </cell>
          <cell r="G47">
            <v>325</v>
          </cell>
          <cell r="H47">
            <v>237</v>
          </cell>
          <cell r="I47">
            <v>0.54988399071925753</v>
          </cell>
          <cell r="J47">
            <v>93.99475446428572</v>
          </cell>
          <cell r="K47">
            <v>16.999051339285714</v>
          </cell>
          <cell r="L47">
            <v>198942.26</v>
          </cell>
          <cell r="O47">
            <v>71961.03</v>
          </cell>
          <cell r="P47">
            <v>7808.3</v>
          </cell>
          <cell r="Q47">
            <v>79024.509999999995</v>
          </cell>
          <cell r="R47">
            <v>60058.83</v>
          </cell>
          <cell r="S47">
            <v>153561.79</v>
          </cell>
          <cell r="T47">
            <v>113832.45</v>
          </cell>
          <cell r="U47">
            <v>341497.34</v>
          </cell>
          <cell r="V47">
            <v>113832.45</v>
          </cell>
          <cell r="W47">
            <v>341497.34</v>
          </cell>
          <cell r="X47">
            <v>274164.99</v>
          </cell>
          <cell r="Y47">
            <v>189941.4</v>
          </cell>
          <cell r="AG47">
            <v>1941225</v>
          </cell>
          <cell r="AH47">
            <v>140075</v>
          </cell>
          <cell r="AI47">
            <v>113832.45</v>
          </cell>
          <cell r="AJ47">
            <v>227664.89</v>
          </cell>
          <cell r="AK47">
            <v>569162.23</v>
          </cell>
          <cell r="AL47">
            <v>569162.23</v>
          </cell>
          <cell r="AM47">
            <v>234998.56</v>
          </cell>
          <cell r="AQ47">
            <v>168438.6</v>
          </cell>
          <cell r="AS47">
            <v>113832.45</v>
          </cell>
          <cell r="AV47">
            <v>30462.3</v>
          </cell>
          <cell r="AW47">
            <v>20400</v>
          </cell>
          <cell r="AX47">
            <v>13600</v>
          </cell>
          <cell r="BA47">
            <v>20400</v>
          </cell>
          <cell r="BB47">
            <v>10200</v>
          </cell>
          <cell r="BC47">
            <v>13600</v>
          </cell>
          <cell r="BD47">
            <v>195691.11</v>
          </cell>
          <cell r="BE47">
            <v>3152.1</v>
          </cell>
          <cell r="CB47">
            <v>635753.44999999995</v>
          </cell>
          <cell r="CC47">
            <v>77171.16</v>
          </cell>
          <cell r="CF47">
            <v>252347.88</v>
          </cell>
        </row>
        <row r="48">
          <cell r="B48">
            <v>254</v>
          </cell>
          <cell r="C48">
            <v>3</v>
          </cell>
          <cell r="D48" t="str">
            <v>ES</v>
          </cell>
          <cell r="E48">
            <v>678</v>
          </cell>
          <cell r="F48">
            <v>-40</v>
          </cell>
          <cell r="G48">
            <v>600</v>
          </cell>
          <cell r="H48">
            <v>14</v>
          </cell>
          <cell r="I48">
            <v>2.0648967551622419E-2</v>
          </cell>
          <cell r="J48">
            <v>54.996930803571431</v>
          </cell>
          <cell r="K48">
            <v>16.999051339285714</v>
          </cell>
          <cell r="L48">
            <v>198942.26</v>
          </cell>
          <cell r="O48">
            <v>71961.03</v>
          </cell>
          <cell r="P48">
            <v>7260</v>
          </cell>
          <cell r="Q48">
            <v>79024.509999999995</v>
          </cell>
          <cell r="R48">
            <v>60058.83</v>
          </cell>
          <cell r="S48">
            <v>153561.79</v>
          </cell>
          <cell r="T48">
            <v>113832.45</v>
          </cell>
          <cell r="W48">
            <v>455329.78</v>
          </cell>
          <cell r="X48">
            <v>156665.71</v>
          </cell>
          <cell r="Y48">
            <v>139768.20000000001</v>
          </cell>
          <cell r="AG48">
            <v>3583800</v>
          </cell>
          <cell r="AH48">
            <v>220350</v>
          </cell>
          <cell r="AI48">
            <v>113832.45</v>
          </cell>
          <cell r="AJ48">
            <v>113832.45</v>
          </cell>
          <cell r="AK48">
            <v>569162.23</v>
          </cell>
          <cell r="AQ48">
            <v>98554.5</v>
          </cell>
          <cell r="AS48">
            <v>113832.45</v>
          </cell>
          <cell r="AV48">
            <v>30462.3</v>
          </cell>
          <cell r="BF48">
            <v>16950</v>
          </cell>
          <cell r="CB48">
            <v>37555.06</v>
          </cell>
          <cell r="CD48">
            <v>392033.87</v>
          </cell>
          <cell r="CE48">
            <v>290737.96000000002</v>
          </cell>
          <cell r="CF48">
            <v>59158.239999999998</v>
          </cell>
          <cell r="CG48">
            <v>1054749.3799999999</v>
          </cell>
        </row>
        <row r="49">
          <cell r="B49">
            <v>433</v>
          </cell>
          <cell r="C49">
            <v>6</v>
          </cell>
          <cell r="D49" t="str">
            <v>MS</v>
          </cell>
          <cell r="E49">
            <v>389</v>
          </cell>
          <cell r="F49">
            <v>0</v>
          </cell>
          <cell r="G49">
            <v>389</v>
          </cell>
          <cell r="H49">
            <v>213</v>
          </cell>
          <cell r="I49">
            <v>0.54755784061696655</v>
          </cell>
          <cell r="J49">
            <v>97.994531250000009</v>
          </cell>
          <cell r="K49">
            <v>10.999386160714286</v>
          </cell>
          <cell r="L49">
            <v>198942.26</v>
          </cell>
          <cell r="M49">
            <v>113832.45</v>
          </cell>
          <cell r="O49">
            <v>71961.03</v>
          </cell>
          <cell r="P49">
            <v>6716.6</v>
          </cell>
          <cell r="Q49">
            <v>79024.509999999995</v>
          </cell>
          <cell r="R49">
            <v>60058.83</v>
          </cell>
          <cell r="S49">
            <v>102374.53</v>
          </cell>
          <cell r="T49">
            <v>113832.45</v>
          </cell>
          <cell r="AG49">
            <v>2323497</v>
          </cell>
          <cell r="AH49">
            <v>133038</v>
          </cell>
          <cell r="AI49">
            <v>113832.45</v>
          </cell>
          <cell r="AJ49">
            <v>341497.34</v>
          </cell>
          <cell r="AK49">
            <v>682994.68</v>
          </cell>
          <cell r="AL49">
            <v>341497.34</v>
          </cell>
          <cell r="AM49">
            <v>117499.28</v>
          </cell>
          <cell r="AO49">
            <v>57558.06</v>
          </cell>
          <cell r="AQ49">
            <v>175606.2</v>
          </cell>
          <cell r="AS49">
            <v>113832.45</v>
          </cell>
          <cell r="AV49">
            <v>19710.900000000001</v>
          </cell>
          <cell r="AW49">
            <v>13600</v>
          </cell>
          <cell r="AX49">
            <v>13600</v>
          </cell>
          <cell r="AY49">
            <v>10200</v>
          </cell>
          <cell r="BA49">
            <v>6800</v>
          </cell>
          <cell r="BC49">
            <v>6800</v>
          </cell>
          <cell r="BD49">
            <v>160189.63</v>
          </cell>
          <cell r="BE49">
            <v>2580.2600000000002</v>
          </cell>
          <cell r="BX49">
            <v>55921</v>
          </cell>
          <cell r="CB49">
            <v>571373.35</v>
          </cell>
          <cell r="CC49">
            <v>68570.039999999994</v>
          </cell>
          <cell r="CE49">
            <v>159980.04</v>
          </cell>
        </row>
        <row r="50">
          <cell r="B50">
            <v>336</v>
          </cell>
          <cell r="C50">
            <v>4</v>
          </cell>
          <cell r="D50" t="str">
            <v>ES</v>
          </cell>
          <cell r="E50">
            <v>401</v>
          </cell>
          <cell r="F50">
            <v>46</v>
          </cell>
          <cell r="G50">
            <v>303</v>
          </cell>
          <cell r="H50">
            <v>156</v>
          </cell>
          <cell r="I50">
            <v>0.38902743142144636</v>
          </cell>
          <cell r="J50">
            <v>54.996930803571431</v>
          </cell>
          <cell r="K50">
            <v>69.99609375</v>
          </cell>
          <cell r="L50">
            <v>198942.26</v>
          </cell>
          <cell r="O50">
            <v>71961.03</v>
          </cell>
          <cell r="P50">
            <v>7025.45</v>
          </cell>
          <cell r="Q50">
            <v>79024.509999999995</v>
          </cell>
          <cell r="R50">
            <v>60058.83</v>
          </cell>
          <cell r="S50">
            <v>102374.53</v>
          </cell>
          <cell r="T50">
            <v>113832.45</v>
          </cell>
          <cell r="U50">
            <v>341497.34</v>
          </cell>
          <cell r="W50">
            <v>341497.34</v>
          </cell>
          <cell r="X50">
            <v>234998.56</v>
          </cell>
          <cell r="Y50">
            <v>175606.2</v>
          </cell>
          <cell r="AG50">
            <v>1809819</v>
          </cell>
          <cell r="AH50">
            <v>130325</v>
          </cell>
          <cell r="AI50">
            <v>113832.45</v>
          </cell>
          <cell r="AJ50">
            <v>227664.89</v>
          </cell>
          <cell r="AK50">
            <v>341497.34</v>
          </cell>
          <cell r="AL50">
            <v>455329.78</v>
          </cell>
          <cell r="AM50">
            <v>234998.56</v>
          </cell>
          <cell r="AQ50">
            <v>98554.5</v>
          </cell>
          <cell r="AS50">
            <v>398413.56</v>
          </cell>
          <cell r="AV50">
            <v>125433</v>
          </cell>
          <cell r="AW50">
            <v>20400</v>
          </cell>
          <cell r="AX50">
            <v>13600</v>
          </cell>
          <cell r="BA50">
            <v>27200</v>
          </cell>
          <cell r="BB50">
            <v>10200</v>
          </cell>
          <cell r="BC50">
            <v>20400</v>
          </cell>
          <cell r="BD50">
            <v>93516.11</v>
          </cell>
          <cell r="BE50">
            <v>1506.31</v>
          </cell>
          <cell r="BV50">
            <v>15325</v>
          </cell>
          <cell r="CB50">
            <v>418470.62</v>
          </cell>
          <cell r="CF50">
            <v>222508.74</v>
          </cell>
        </row>
        <row r="51">
          <cell r="B51">
            <v>416</v>
          </cell>
          <cell r="C51">
            <v>8</v>
          </cell>
          <cell r="D51" t="str">
            <v>MS</v>
          </cell>
          <cell r="E51">
            <v>332</v>
          </cell>
          <cell r="F51">
            <v>-39</v>
          </cell>
          <cell r="G51">
            <v>332</v>
          </cell>
          <cell r="H51">
            <v>272</v>
          </cell>
          <cell r="I51">
            <v>0.81927710843373491</v>
          </cell>
          <cell r="J51">
            <v>87.995089285714286</v>
          </cell>
          <cell r="K51">
            <v>0.99994419642857146</v>
          </cell>
          <cell r="L51">
            <v>198942.26</v>
          </cell>
          <cell r="M51">
            <v>113832.45</v>
          </cell>
          <cell r="O51">
            <v>71961.03</v>
          </cell>
          <cell r="P51">
            <v>11636.45</v>
          </cell>
          <cell r="Q51">
            <v>79024.509999999995</v>
          </cell>
          <cell r="R51">
            <v>60058.83</v>
          </cell>
          <cell r="S51">
            <v>204749.06</v>
          </cell>
          <cell r="T51">
            <v>113832.45</v>
          </cell>
          <cell r="AG51">
            <v>1983036</v>
          </cell>
          <cell r="AH51">
            <v>113544</v>
          </cell>
          <cell r="AI51">
            <v>113832.45</v>
          </cell>
          <cell r="AJ51">
            <v>341497.34</v>
          </cell>
          <cell r="AK51">
            <v>682994.68</v>
          </cell>
          <cell r="AL51">
            <v>455329.78</v>
          </cell>
          <cell r="AM51">
            <v>234998.56</v>
          </cell>
          <cell r="AQ51">
            <v>157687.20000000001</v>
          </cell>
          <cell r="AT51">
            <v>5691.62</v>
          </cell>
          <cell r="AV51">
            <v>1791.9</v>
          </cell>
          <cell r="BD51">
            <v>179672.15</v>
          </cell>
          <cell r="BE51">
            <v>2894.07</v>
          </cell>
          <cell r="CB51">
            <v>729641.09</v>
          </cell>
          <cell r="CC51">
            <v>213594.48</v>
          </cell>
          <cell r="CD51">
            <v>46272.73</v>
          </cell>
          <cell r="CE51">
            <v>73930.759999999995</v>
          </cell>
        </row>
        <row r="52">
          <cell r="B52">
            <v>421</v>
          </cell>
          <cell r="C52">
            <v>7</v>
          </cell>
          <cell r="D52" t="str">
            <v>MS</v>
          </cell>
          <cell r="E52">
            <v>375</v>
          </cell>
          <cell r="F52">
            <v>-75</v>
          </cell>
          <cell r="G52">
            <v>375</v>
          </cell>
          <cell r="H52">
            <v>273</v>
          </cell>
          <cell r="I52">
            <v>0.72799999999999998</v>
          </cell>
          <cell r="J52">
            <v>51.997098214285714</v>
          </cell>
          <cell r="K52">
            <v>17.998995535714286</v>
          </cell>
          <cell r="L52">
            <v>198942.26</v>
          </cell>
          <cell r="M52">
            <v>113832.45</v>
          </cell>
          <cell r="O52">
            <v>71961.03</v>
          </cell>
          <cell r="P52">
            <v>10032.549999999999</v>
          </cell>
          <cell r="Q52">
            <v>79024.509999999995</v>
          </cell>
          <cell r="R52">
            <v>60058.83</v>
          </cell>
          <cell r="S52">
            <v>204749.06</v>
          </cell>
          <cell r="T52">
            <v>113832.45</v>
          </cell>
          <cell r="AG52">
            <v>2239875</v>
          </cell>
          <cell r="AH52">
            <v>128250</v>
          </cell>
          <cell r="AI52">
            <v>113832.45</v>
          </cell>
          <cell r="AJ52">
            <v>455329.78</v>
          </cell>
          <cell r="AK52">
            <v>569162.23</v>
          </cell>
          <cell r="AL52">
            <v>455329.78</v>
          </cell>
          <cell r="AM52">
            <v>156665.71</v>
          </cell>
          <cell r="AO52">
            <v>115116.11</v>
          </cell>
          <cell r="AQ52">
            <v>93178.8</v>
          </cell>
          <cell r="AS52">
            <v>113832.45</v>
          </cell>
          <cell r="AV52">
            <v>32254.2</v>
          </cell>
          <cell r="BD52">
            <v>202942.94</v>
          </cell>
          <cell r="BE52">
            <v>3268.91</v>
          </cell>
          <cell r="CB52">
            <v>732323.59</v>
          </cell>
          <cell r="CC52">
            <v>159479.1</v>
          </cell>
          <cell r="CD52">
            <v>373247.52</v>
          </cell>
          <cell r="CG52">
            <v>668428.72</v>
          </cell>
        </row>
        <row r="53">
          <cell r="B53">
            <v>257</v>
          </cell>
          <cell r="C53">
            <v>8</v>
          </cell>
          <cell r="D53" t="str">
            <v>ES</v>
          </cell>
          <cell r="E53">
            <v>292</v>
          </cell>
          <cell r="F53">
            <v>-44</v>
          </cell>
          <cell r="G53">
            <v>224</v>
          </cell>
          <cell r="H53">
            <v>239</v>
          </cell>
          <cell r="I53">
            <v>0.81849315068493156</v>
          </cell>
          <cell r="J53">
            <v>33.998102678571428</v>
          </cell>
          <cell r="K53">
            <v>5.9996651785714281</v>
          </cell>
          <cell r="L53">
            <v>198942.26</v>
          </cell>
          <cell r="O53">
            <v>71961.03</v>
          </cell>
          <cell r="P53">
            <v>6933.25</v>
          </cell>
          <cell r="Q53">
            <v>79024.509999999995</v>
          </cell>
          <cell r="R53">
            <v>60058.83</v>
          </cell>
          <cell r="S53">
            <v>51187.26</v>
          </cell>
          <cell r="T53">
            <v>113832.45</v>
          </cell>
          <cell r="U53">
            <v>113832.45</v>
          </cell>
          <cell r="V53">
            <v>227664.89</v>
          </cell>
          <cell r="W53">
            <v>227664.89</v>
          </cell>
          <cell r="X53">
            <v>195832.13</v>
          </cell>
          <cell r="Y53">
            <v>121849.2</v>
          </cell>
          <cell r="AG53">
            <v>1337952</v>
          </cell>
          <cell r="AH53">
            <v>94900</v>
          </cell>
          <cell r="AI53">
            <v>113832.45</v>
          </cell>
          <cell r="AJ53">
            <v>113832.45</v>
          </cell>
          <cell r="AK53">
            <v>341497.34</v>
          </cell>
          <cell r="AQ53">
            <v>60924.6</v>
          </cell>
          <cell r="AT53">
            <v>30734.76</v>
          </cell>
          <cell r="AV53">
            <v>10751.4</v>
          </cell>
          <cell r="AW53">
            <v>20400</v>
          </cell>
          <cell r="AX53">
            <v>13600</v>
          </cell>
          <cell r="AY53">
            <v>10200</v>
          </cell>
          <cell r="BA53">
            <v>20400</v>
          </cell>
          <cell r="BC53">
            <v>13600</v>
          </cell>
          <cell r="BD53">
            <v>158024.9</v>
          </cell>
          <cell r="BE53">
            <v>2545.39</v>
          </cell>
          <cell r="BV53">
            <v>15325</v>
          </cell>
          <cell r="CB53">
            <v>641118.46</v>
          </cell>
          <cell r="CC53">
            <v>145980.12</v>
          </cell>
          <cell r="CD53">
            <v>255139.46</v>
          </cell>
          <cell r="CE53">
            <v>83935.08</v>
          </cell>
          <cell r="CF53">
            <v>197490.74</v>
          </cell>
          <cell r="CG53">
            <v>35757.03</v>
          </cell>
        </row>
        <row r="54">
          <cell r="B54">
            <v>272</v>
          </cell>
          <cell r="C54">
            <v>3</v>
          </cell>
          <cell r="D54" t="str">
            <v>ES</v>
          </cell>
          <cell r="E54">
            <v>350</v>
          </cell>
          <cell r="F54">
            <v>-10</v>
          </cell>
          <cell r="G54">
            <v>292</v>
          </cell>
          <cell r="H54">
            <v>6</v>
          </cell>
          <cell r="I54">
            <v>1.7142857142857144E-2</v>
          </cell>
          <cell r="J54">
            <v>19.998883928571427</v>
          </cell>
          <cell r="K54">
            <v>23.998660714285712</v>
          </cell>
          <cell r="L54">
            <v>198942.26</v>
          </cell>
          <cell r="O54">
            <v>71961.03</v>
          </cell>
          <cell r="P54">
            <v>5904.8</v>
          </cell>
          <cell r="Q54">
            <v>79024.509999999995</v>
          </cell>
          <cell r="R54">
            <v>60058.83</v>
          </cell>
          <cell r="S54">
            <v>102374.53</v>
          </cell>
          <cell r="T54">
            <v>113832.45</v>
          </cell>
          <cell r="W54">
            <v>341497.34</v>
          </cell>
          <cell r="X54">
            <v>117499.28</v>
          </cell>
          <cell r="Y54">
            <v>103930.2</v>
          </cell>
          <cell r="AG54">
            <v>1744116</v>
          </cell>
          <cell r="AH54">
            <v>113750</v>
          </cell>
          <cell r="AI54">
            <v>113832.45</v>
          </cell>
          <cell r="AJ54">
            <v>113832.45</v>
          </cell>
          <cell r="AK54">
            <v>341497.34</v>
          </cell>
          <cell r="AQ54">
            <v>35838</v>
          </cell>
          <cell r="AS54">
            <v>170748.67</v>
          </cell>
          <cell r="AV54">
            <v>43005.599999999999</v>
          </cell>
          <cell r="BF54">
            <v>8750</v>
          </cell>
          <cell r="CB54">
            <v>16095.02</v>
          </cell>
          <cell r="CD54">
            <v>221765.56</v>
          </cell>
          <cell r="CE54">
            <v>119964.12</v>
          </cell>
          <cell r="CF54">
            <v>61890.71</v>
          </cell>
          <cell r="CG54">
            <v>255164.22</v>
          </cell>
        </row>
        <row r="55">
          <cell r="B55">
            <v>259</v>
          </cell>
          <cell r="C55">
            <v>7</v>
          </cell>
          <cell r="D55" t="str">
            <v>ES</v>
          </cell>
          <cell r="E55">
            <v>427</v>
          </cell>
          <cell r="F55">
            <v>29</v>
          </cell>
          <cell r="G55">
            <v>354</v>
          </cell>
          <cell r="H55">
            <v>335</v>
          </cell>
          <cell r="I55">
            <v>0.78454332552693207</v>
          </cell>
          <cell r="J55">
            <v>53.996986607142858</v>
          </cell>
          <cell r="K55">
            <v>1.9998883928571429</v>
          </cell>
          <cell r="L55">
            <v>198942.26</v>
          </cell>
          <cell r="O55">
            <v>71961.03</v>
          </cell>
          <cell r="P55">
            <v>7388.4</v>
          </cell>
          <cell r="Q55">
            <v>79024.509999999995</v>
          </cell>
          <cell r="R55">
            <v>60058.83</v>
          </cell>
          <cell r="S55">
            <v>102374.53</v>
          </cell>
          <cell r="T55">
            <v>113832.45</v>
          </cell>
          <cell r="U55">
            <v>227664.89</v>
          </cell>
          <cell r="V55">
            <v>113832.45</v>
          </cell>
          <cell r="W55">
            <v>227664.89</v>
          </cell>
          <cell r="X55">
            <v>195832.13</v>
          </cell>
          <cell r="Y55">
            <v>130808.7</v>
          </cell>
          <cell r="AG55">
            <v>2114442</v>
          </cell>
          <cell r="AH55">
            <v>138775</v>
          </cell>
          <cell r="AI55">
            <v>113832.45</v>
          </cell>
          <cell r="AJ55">
            <v>227664.89</v>
          </cell>
          <cell r="AK55">
            <v>455329.78</v>
          </cell>
          <cell r="AQ55">
            <v>96762.6</v>
          </cell>
          <cell r="AT55">
            <v>10244.92</v>
          </cell>
          <cell r="AV55">
            <v>3583.8</v>
          </cell>
          <cell r="AW55">
            <v>20400</v>
          </cell>
          <cell r="AX55">
            <v>20400</v>
          </cell>
          <cell r="AY55">
            <v>10200</v>
          </cell>
          <cell r="BA55">
            <v>20400</v>
          </cell>
          <cell r="BC55">
            <v>20400</v>
          </cell>
          <cell r="BD55">
            <v>231084.36</v>
          </cell>
          <cell r="BE55">
            <v>3722.2</v>
          </cell>
          <cell r="CB55">
            <v>898638.84</v>
          </cell>
          <cell r="CC55">
            <v>196153.32</v>
          </cell>
          <cell r="CF55">
            <v>231668.36</v>
          </cell>
        </row>
        <row r="56">
          <cell r="B56">
            <v>344</v>
          </cell>
          <cell r="C56">
            <v>8</v>
          </cell>
          <cell r="D56" t="str">
            <v>ES</v>
          </cell>
          <cell r="E56">
            <v>218</v>
          </cell>
          <cell r="F56">
            <v>-52</v>
          </cell>
          <cell r="G56">
            <v>164</v>
          </cell>
          <cell r="H56">
            <v>183</v>
          </cell>
          <cell r="I56">
            <v>0.83944954128440363</v>
          </cell>
          <cell r="J56">
            <v>47.997321428571425</v>
          </cell>
          <cell r="K56">
            <v>1.9998883928571429</v>
          </cell>
          <cell r="L56">
            <v>198942.26</v>
          </cell>
          <cell r="O56">
            <v>71961.03</v>
          </cell>
          <cell r="P56">
            <v>5387.95</v>
          </cell>
          <cell r="Q56">
            <v>79024.509999999995</v>
          </cell>
          <cell r="R56">
            <v>60058.83</v>
          </cell>
          <cell r="S56">
            <v>51187.26</v>
          </cell>
          <cell r="T56">
            <v>113832.45</v>
          </cell>
          <cell r="U56">
            <v>227664.89</v>
          </cell>
          <cell r="W56">
            <v>341497.34</v>
          </cell>
          <cell r="X56">
            <v>195832.13</v>
          </cell>
          <cell r="Y56">
            <v>96762.6</v>
          </cell>
          <cell r="AG56">
            <v>979572</v>
          </cell>
          <cell r="AH56">
            <v>70850</v>
          </cell>
          <cell r="AI56">
            <v>113832.45</v>
          </cell>
          <cell r="AJ56">
            <v>113832.45</v>
          </cell>
          <cell r="AK56">
            <v>341497.34</v>
          </cell>
          <cell r="AL56">
            <v>341497.34</v>
          </cell>
          <cell r="AM56">
            <v>234998.56</v>
          </cell>
          <cell r="AQ56">
            <v>86011.199999999997</v>
          </cell>
          <cell r="AT56">
            <v>10244.92</v>
          </cell>
          <cell r="AV56">
            <v>3583.8</v>
          </cell>
          <cell r="AW56">
            <v>13600</v>
          </cell>
          <cell r="AX56">
            <v>13600</v>
          </cell>
          <cell r="AY56">
            <v>10200</v>
          </cell>
          <cell r="BA56">
            <v>13600</v>
          </cell>
          <cell r="BC56">
            <v>13600</v>
          </cell>
          <cell r="BD56">
            <v>117977.5</v>
          </cell>
          <cell r="BE56">
            <v>1900.33</v>
          </cell>
          <cell r="BV56">
            <v>15325</v>
          </cell>
          <cell r="CB56">
            <v>490898.23</v>
          </cell>
          <cell r="CC56">
            <v>114442.68</v>
          </cell>
          <cell r="CD56">
            <v>208593.31</v>
          </cell>
          <cell r="CE56">
            <v>213869.48</v>
          </cell>
          <cell r="CF56">
            <v>366910.89</v>
          </cell>
        </row>
        <row r="57">
          <cell r="B57">
            <v>417</v>
          </cell>
          <cell r="C57">
            <v>8</v>
          </cell>
          <cell r="D57" t="str">
            <v>MS</v>
          </cell>
          <cell r="E57">
            <v>289</v>
          </cell>
          <cell r="F57">
            <v>43</v>
          </cell>
          <cell r="G57">
            <v>289</v>
          </cell>
          <cell r="H57">
            <v>246</v>
          </cell>
          <cell r="I57">
            <v>0.85121107266435991</v>
          </cell>
          <cell r="J57">
            <v>79.995535714285708</v>
          </cell>
          <cell r="K57">
            <v>5.9996651785714281</v>
          </cell>
          <cell r="L57">
            <v>198942.26</v>
          </cell>
          <cell r="M57">
            <v>113832.45</v>
          </cell>
          <cell r="O57">
            <v>71961.03</v>
          </cell>
          <cell r="P57">
            <v>10041.65</v>
          </cell>
          <cell r="Q57">
            <v>79024.509999999995</v>
          </cell>
          <cell r="R57">
            <v>60058.83</v>
          </cell>
          <cell r="S57">
            <v>153561.79</v>
          </cell>
          <cell r="T57">
            <v>113832.45</v>
          </cell>
          <cell r="AG57">
            <v>1726197</v>
          </cell>
          <cell r="AH57">
            <v>98838</v>
          </cell>
          <cell r="AI57">
            <v>113832.45</v>
          </cell>
          <cell r="AJ57">
            <v>341497.34</v>
          </cell>
          <cell r="AK57">
            <v>569162.23</v>
          </cell>
          <cell r="AL57">
            <v>455329.78</v>
          </cell>
          <cell r="AM57">
            <v>156665.71</v>
          </cell>
          <cell r="AO57">
            <v>115116.11</v>
          </cell>
          <cell r="AQ57">
            <v>143352</v>
          </cell>
          <cell r="AT57">
            <v>30734.76</v>
          </cell>
          <cell r="AV57">
            <v>10751.4</v>
          </cell>
          <cell r="BD57">
            <v>156401.35999999999</v>
          </cell>
          <cell r="BE57">
            <v>2519.2399999999998</v>
          </cell>
          <cell r="BX57">
            <v>55921</v>
          </cell>
          <cell r="CB57">
            <v>659895.98</v>
          </cell>
          <cell r="CC57">
            <v>207979.86</v>
          </cell>
        </row>
        <row r="58">
          <cell r="B58">
            <v>261</v>
          </cell>
          <cell r="C58">
            <v>4</v>
          </cell>
          <cell r="D58" t="str">
            <v>ES</v>
          </cell>
          <cell r="E58">
            <v>884</v>
          </cell>
          <cell r="F58">
            <v>-58</v>
          </cell>
          <cell r="G58">
            <v>823</v>
          </cell>
          <cell r="H58">
            <v>27</v>
          </cell>
          <cell r="I58">
            <v>3.0542986425339366E-2</v>
          </cell>
          <cell r="J58">
            <v>99.994419642857139</v>
          </cell>
          <cell r="K58">
            <v>77.995647321428578</v>
          </cell>
          <cell r="L58">
            <v>198942.26</v>
          </cell>
          <cell r="O58">
            <v>71961.03</v>
          </cell>
          <cell r="P58">
            <v>9267.1</v>
          </cell>
          <cell r="Q58">
            <v>79024.509999999995</v>
          </cell>
          <cell r="R58">
            <v>60058.83</v>
          </cell>
          <cell r="S58">
            <v>204749.06</v>
          </cell>
          <cell r="T58">
            <v>113832.45</v>
          </cell>
          <cell r="W58">
            <v>227664.89</v>
          </cell>
          <cell r="X58">
            <v>78332.850000000006</v>
          </cell>
          <cell r="Y58">
            <v>109305.9</v>
          </cell>
          <cell r="AG58">
            <v>4915779</v>
          </cell>
          <cell r="AH58">
            <v>287300</v>
          </cell>
          <cell r="AI58">
            <v>227664.89</v>
          </cell>
          <cell r="AJ58">
            <v>341497.34</v>
          </cell>
          <cell r="AK58">
            <v>569162.23</v>
          </cell>
          <cell r="AL58">
            <v>455329.78</v>
          </cell>
          <cell r="AM58">
            <v>234998.56</v>
          </cell>
          <cell r="AQ58">
            <v>179190</v>
          </cell>
          <cell r="AS58">
            <v>455329.78</v>
          </cell>
          <cell r="AV58">
            <v>139768.20000000001</v>
          </cell>
          <cell r="BF58">
            <v>22100</v>
          </cell>
          <cell r="CB58">
            <v>72427.61</v>
          </cell>
          <cell r="CD58">
            <v>527103.06999999995</v>
          </cell>
          <cell r="CE58">
            <v>516011.11</v>
          </cell>
          <cell r="CG58">
            <v>961272.13</v>
          </cell>
        </row>
        <row r="59">
          <cell r="B59">
            <v>262</v>
          </cell>
          <cell r="C59">
            <v>5</v>
          </cell>
          <cell r="D59" t="str">
            <v>ES</v>
          </cell>
          <cell r="E59">
            <v>354</v>
          </cell>
          <cell r="F59">
            <v>-4</v>
          </cell>
          <cell r="G59">
            <v>277</v>
          </cell>
          <cell r="H59">
            <v>194</v>
          </cell>
          <cell r="I59">
            <v>0.54802259887005644</v>
          </cell>
          <cell r="J59">
            <v>39.997767857142854</v>
          </cell>
          <cell r="K59">
            <v>16.999051339285714</v>
          </cell>
          <cell r="L59">
            <v>198942.26</v>
          </cell>
          <cell r="O59">
            <v>71961.03</v>
          </cell>
          <cell r="P59">
            <v>7357.85</v>
          </cell>
          <cell r="Q59">
            <v>79024.509999999995</v>
          </cell>
          <cell r="R59">
            <v>60058.83</v>
          </cell>
          <cell r="S59">
            <v>102374.53</v>
          </cell>
          <cell r="T59">
            <v>113832.45</v>
          </cell>
          <cell r="U59">
            <v>113832.45</v>
          </cell>
          <cell r="V59">
            <v>341497.34</v>
          </cell>
          <cell r="W59">
            <v>113832.45</v>
          </cell>
          <cell r="X59">
            <v>195832.13</v>
          </cell>
          <cell r="Y59">
            <v>137976.29999999999</v>
          </cell>
          <cell r="AG59">
            <v>1654521</v>
          </cell>
          <cell r="AH59">
            <v>115050</v>
          </cell>
          <cell r="AI59">
            <v>113832.45</v>
          </cell>
          <cell r="AJ59">
            <v>227664.89</v>
          </cell>
          <cell r="AK59">
            <v>341497.34</v>
          </cell>
          <cell r="AL59">
            <v>341497.34</v>
          </cell>
          <cell r="AM59">
            <v>234998.56</v>
          </cell>
          <cell r="AQ59">
            <v>71676</v>
          </cell>
          <cell r="AS59">
            <v>113832.45</v>
          </cell>
          <cell r="AV59">
            <v>30462.3</v>
          </cell>
          <cell r="AW59">
            <v>27200</v>
          </cell>
          <cell r="AX59">
            <v>27200</v>
          </cell>
          <cell r="AY59">
            <v>10200</v>
          </cell>
          <cell r="BA59">
            <v>20400</v>
          </cell>
          <cell r="BC59">
            <v>20400</v>
          </cell>
          <cell r="BD59">
            <v>163653.19</v>
          </cell>
          <cell r="BE59">
            <v>2636.05</v>
          </cell>
          <cell r="CB59">
            <v>520405.78</v>
          </cell>
          <cell r="CC59">
            <v>62597.04</v>
          </cell>
          <cell r="CE59">
            <v>111947.49</v>
          </cell>
          <cell r="CF59">
            <v>31547.87</v>
          </cell>
        </row>
        <row r="60">
          <cell r="B60">
            <v>370</v>
          </cell>
          <cell r="C60">
            <v>5</v>
          </cell>
          <cell r="D60" t="str">
            <v>ES</v>
          </cell>
          <cell r="E60">
            <v>312</v>
          </cell>
          <cell r="F60">
            <v>-5</v>
          </cell>
          <cell r="G60">
            <v>232</v>
          </cell>
          <cell r="H60">
            <v>165</v>
          </cell>
          <cell r="I60">
            <v>0.52884615384615385</v>
          </cell>
          <cell r="J60">
            <v>64.996372767857139</v>
          </cell>
          <cell r="K60">
            <v>33.998102678571428</v>
          </cell>
          <cell r="L60">
            <v>198942.26</v>
          </cell>
          <cell r="O60">
            <v>71961.03</v>
          </cell>
          <cell r="P60">
            <v>9261.9</v>
          </cell>
          <cell r="Q60">
            <v>79024.509999999995</v>
          </cell>
          <cell r="R60">
            <v>60058.83</v>
          </cell>
          <cell r="S60">
            <v>153561.79</v>
          </cell>
          <cell r="T60">
            <v>113832.45</v>
          </cell>
          <cell r="U60">
            <v>227664.89</v>
          </cell>
          <cell r="V60">
            <v>113832.45</v>
          </cell>
          <cell r="W60">
            <v>341497.34</v>
          </cell>
          <cell r="X60">
            <v>234998.56</v>
          </cell>
          <cell r="Y60">
            <v>143352</v>
          </cell>
          <cell r="AG60">
            <v>1385736</v>
          </cell>
          <cell r="AH60">
            <v>101400</v>
          </cell>
          <cell r="AI60">
            <v>113832.45</v>
          </cell>
          <cell r="AJ60">
            <v>455329.78</v>
          </cell>
          <cell r="AK60">
            <v>341497.34</v>
          </cell>
          <cell r="AL60">
            <v>455329.78</v>
          </cell>
          <cell r="AM60">
            <v>274164.99</v>
          </cell>
          <cell r="AO60">
            <v>57558.06</v>
          </cell>
          <cell r="AQ60">
            <v>116473.5</v>
          </cell>
          <cell r="AS60">
            <v>227664.89</v>
          </cell>
          <cell r="AV60">
            <v>60924.6</v>
          </cell>
          <cell r="AW60">
            <v>20400</v>
          </cell>
          <cell r="AX60">
            <v>20400</v>
          </cell>
          <cell r="AY60">
            <v>10200</v>
          </cell>
          <cell r="BA60">
            <v>13600</v>
          </cell>
          <cell r="BC60">
            <v>13600</v>
          </cell>
          <cell r="BD60">
            <v>144603.60999999999</v>
          </cell>
          <cell r="BE60">
            <v>2329.21</v>
          </cell>
          <cell r="BG60">
            <v>113832.45</v>
          </cell>
          <cell r="CB60">
            <v>442613.16</v>
          </cell>
          <cell r="CC60">
            <v>48022.92</v>
          </cell>
          <cell r="CE60">
            <v>45730.51</v>
          </cell>
          <cell r="CF60">
            <v>120439.03999999999</v>
          </cell>
        </row>
        <row r="61">
          <cell r="B61">
            <v>264</v>
          </cell>
          <cell r="C61">
            <v>4</v>
          </cell>
          <cell r="D61" t="str">
            <v>ES</v>
          </cell>
          <cell r="E61">
            <v>267</v>
          </cell>
          <cell r="F61">
            <v>15</v>
          </cell>
          <cell r="G61">
            <v>208</v>
          </cell>
          <cell r="H61">
            <v>130</v>
          </cell>
          <cell r="I61">
            <v>0.48689138576779029</v>
          </cell>
          <cell r="J61">
            <v>39.997767857142854</v>
          </cell>
          <cell r="K61">
            <v>133.99252232142857</v>
          </cell>
          <cell r="L61">
            <v>198942.26</v>
          </cell>
          <cell r="O61">
            <v>71961.03</v>
          </cell>
          <cell r="P61">
            <v>5510.15</v>
          </cell>
          <cell r="Q61">
            <v>79024.509999999995</v>
          </cell>
          <cell r="R61">
            <v>60058.83</v>
          </cell>
          <cell r="S61">
            <v>51187.26</v>
          </cell>
          <cell r="T61">
            <v>113832.45</v>
          </cell>
          <cell r="U61">
            <v>113832.45</v>
          </cell>
          <cell r="V61">
            <v>227664.89</v>
          </cell>
          <cell r="W61">
            <v>113832.45</v>
          </cell>
          <cell r="X61">
            <v>156665.71</v>
          </cell>
          <cell r="Y61">
            <v>105722.1</v>
          </cell>
          <cell r="AG61">
            <v>1242384</v>
          </cell>
          <cell r="AH61">
            <v>86775</v>
          </cell>
          <cell r="AI61">
            <v>113832.45</v>
          </cell>
          <cell r="AJ61">
            <v>341497.34</v>
          </cell>
          <cell r="AK61">
            <v>341497.34</v>
          </cell>
          <cell r="AL61">
            <v>341497.34</v>
          </cell>
          <cell r="AM61">
            <v>156665.71</v>
          </cell>
          <cell r="AO61">
            <v>57558.06</v>
          </cell>
          <cell r="AQ61">
            <v>71676</v>
          </cell>
          <cell r="AS61">
            <v>739910.9</v>
          </cell>
          <cell r="AV61">
            <v>240114.6</v>
          </cell>
          <cell r="AW61">
            <v>20400</v>
          </cell>
          <cell r="AX61">
            <v>13600</v>
          </cell>
          <cell r="AY61">
            <v>10200</v>
          </cell>
          <cell r="BA61">
            <v>20400</v>
          </cell>
          <cell r="BC61">
            <v>13600</v>
          </cell>
          <cell r="BD61">
            <v>99577.34</v>
          </cell>
          <cell r="BE61">
            <v>1603.95</v>
          </cell>
          <cell r="BV61">
            <v>15325</v>
          </cell>
          <cell r="CB61">
            <v>348725.52</v>
          </cell>
          <cell r="CC61">
            <v>27714.720000000001</v>
          </cell>
          <cell r="CD61">
            <v>338791.02</v>
          </cell>
          <cell r="CF61">
            <v>187336.64</v>
          </cell>
          <cell r="CG61">
            <v>646903.48</v>
          </cell>
        </row>
        <row r="62">
          <cell r="B62">
            <v>266</v>
          </cell>
          <cell r="C62">
            <v>8</v>
          </cell>
          <cell r="D62" t="str">
            <v>EC</v>
          </cell>
          <cell r="E62">
            <v>421</v>
          </cell>
          <cell r="F62">
            <v>-66</v>
          </cell>
          <cell r="G62">
            <v>361</v>
          </cell>
          <cell r="H62">
            <v>241</v>
          </cell>
          <cell r="I62">
            <v>0.57244655581947745</v>
          </cell>
          <cell r="J62">
            <v>57.99676339285714</v>
          </cell>
          <cell r="K62">
            <v>16.999051339285714</v>
          </cell>
          <cell r="L62">
            <v>198942.26</v>
          </cell>
          <cell r="M62">
            <v>56916.22</v>
          </cell>
          <cell r="O62">
            <v>71961.03</v>
          </cell>
          <cell r="P62">
            <v>6475.5</v>
          </cell>
          <cell r="Q62">
            <v>79024.509999999995</v>
          </cell>
          <cell r="R62">
            <v>60058.83</v>
          </cell>
          <cell r="S62">
            <v>102374.53</v>
          </cell>
          <cell r="T62">
            <v>113832.45</v>
          </cell>
          <cell r="U62">
            <v>227664.89</v>
          </cell>
          <cell r="W62">
            <v>227664.89</v>
          </cell>
          <cell r="X62">
            <v>156665.71</v>
          </cell>
          <cell r="Y62">
            <v>107514</v>
          </cell>
          <cell r="AB62">
            <v>539063.25</v>
          </cell>
          <cell r="AG62">
            <v>2156253</v>
          </cell>
          <cell r="AH62">
            <v>138930</v>
          </cell>
          <cell r="AI62">
            <v>113832.45</v>
          </cell>
          <cell r="AJ62">
            <v>227664.89</v>
          </cell>
          <cell r="AK62">
            <v>569162.23</v>
          </cell>
          <cell r="AL62">
            <v>341497.34</v>
          </cell>
          <cell r="AM62">
            <v>195832.13</v>
          </cell>
          <cell r="AQ62">
            <v>103930.2</v>
          </cell>
          <cell r="AS62">
            <v>113832.45</v>
          </cell>
          <cell r="AV62">
            <v>30462.3</v>
          </cell>
          <cell r="AW62">
            <v>34000</v>
          </cell>
          <cell r="AX62">
            <v>34000</v>
          </cell>
          <cell r="AY62">
            <v>10200</v>
          </cell>
          <cell r="BA62">
            <v>27200</v>
          </cell>
          <cell r="BC62">
            <v>27200</v>
          </cell>
          <cell r="BD62">
            <v>215606.58</v>
          </cell>
          <cell r="BE62">
            <v>3472.89</v>
          </cell>
          <cell r="BV62">
            <v>15325</v>
          </cell>
          <cell r="CB62">
            <v>646483.46</v>
          </cell>
          <cell r="CC62">
            <v>86727.96</v>
          </cell>
          <cell r="CD62">
            <v>232544.77</v>
          </cell>
          <cell r="CE62">
            <v>27831.47</v>
          </cell>
        </row>
        <row r="63">
          <cell r="B63">
            <v>271</v>
          </cell>
          <cell r="C63">
            <v>6</v>
          </cell>
          <cell r="D63" t="str">
            <v>ES</v>
          </cell>
          <cell r="E63">
            <v>451</v>
          </cell>
          <cell r="F63">
            <v>2</v>
          </cell>
          <cell r="G63">
            <v>353</v>
          </cell>
          <cell r="H63">
            <v>108</v>
          </cell>
          <cell r="I63">
            <v>0.23946784922394679</v>
          </cell>
          <cell r="J63">
            <v>54.996930803571431</v>
          </cell>
          <cell r="K63">
            <v>10.999386160714286</v>
          </cell>
          <cell r="L63">
            <v>198942.26</v>
          </cell>
          <cell r="O63">
            <v>71961.03</v>
          </cell>
          <cell r="P63">
            <v>5766.05</v>
          </cell>
          <cell r="Q63">
            <v>79024.509999999995</v>
          </cell>
          <cell r="R63">
            <v>60058.83</v>
          </cell>
          <cell r="S63">
            <v>102374.53</v>
          </cell>
          <cell r="T63">
            <v>113832.45</v>
          </cell>
          <cell r="U63">
            <v>341497.34</v>
          </cell>
          <cell r="W63">
            <v>341497.34</v>
          </cell>
          <cell r="X63">
            <v>234998.56</v>
          </cell>
          <cell r="Y63">
            <v>175606.2</v>
          </cell>
          <cell r="AG63">
            <v>2108469</v>
          </cell>
          <cell r="AH63">
            <v>146575</v>
          </cell>
          <cell r="AI63">
            <v>113832.45</v>
          </cell>
          <cell r="AJ63">
            <v>170748.67</v>
          </cell>
          <cell r="AK63">
            <v>341497.34</v>
          </cell>
          <cell r="AL63">
            <v>341497.34</v>
          </cell>
          <cell r="AM63">
            <v>234998.56</v>
          </cell>
          <cell r="AQ63">
            <v>98554.5</v>
          </cell>
          <cell r="AS63">
            <v>56916.22</v>
          </cell>
          <cell r="AV63">
            <v>19710.900000000001</v>
          </cell>
          <cell r="BF63">
            <v>11275</v>
          </cell>
          <cell r="BV63">
            <v>15325</v>
          </cell>
          <cell r="CB63">
            <v>289710.43</v>
          </cell>
          <cell r="CD63">
            <v>190346.56</v>
          </cell>
          <cell r="CE63">
            <v>148318.73000000001</v>
          </cell>
          <cell r="CF63">
            <v>371078.18</v>
          </cell>
        </row>
        <row r="64">
          <cell r="B64">
            <v>884</v>
          </cell>
          <cell r="C64">
            <v>5</v>
          </cell>
          <cell r="D64" t="str">
            <v>HS</v>
          </cell>
          <cell r="E64">
            <v>189</v>
          </cell>
          <cell r="F64">
            <v>-15</v>
          </cell>
          <cell r="G64">
            <v>189</v>
          </cell>
          <cell r="H64">
            <v>189</v>
          </cell>
          <cell r="I64">
            <v>1</v>
          </cell>
          <cell r="J64">
            <v>53.996986607142858</v>
          </cell>
          <cell r="K64">
            <v>0.99994419642857146</v>
          </cell>
          <cell r="L64">
            <v>198942.26</v>
          </cell>
          <cell r="N64">
            <v>128424.93</v>
          </cell>
          <cell r="O64">
            <v>71961.03</v>
          </cell>
          <cell r="P64">
            <v>8065.87</v>
          </cell>
          <cell r="Q64">
            <v>79024.509999999995</v>
          </cell>
          <cell r="R64">
            <v>60058.83</v>
          </cell>
          <cell r="S64">
            <v>102374.53</v>
          </cell>
          <cell r="T64">
            <v>113832.45</v>
          </cell>
          <cell r="AC64">
            <v>341497.34</v>
          </cell>
          <cell r="AG64">
            <v>1128897</v>
          </cell>
          <cell r="AH64">
            <v>112077</v>
          </cell>
          <cell r="AI64">
            <v>113832.45</v>
          </cell>
          <cell r="AJ64">
            <v>227664.89</v>
          </cell>
          <cell r="AK64">
            <v>682994.68</v>
          </cell>
          <cell r="AL64">
            <v>227664.89</v>
          </cell>
          <cell r="AM64">
            <v>78332.850000000006</v>
          </cell>
          <cell r="AO64">
            <v>57558.06</v>
          </cell>
          <cell r="AQ64">
            <v>96762.6</v>
          </cell>
          <cell r="AT64">
            <v>5691.62</v>
          </cell>
          <cell r="AV64">
            <v>1791.9</v>
          </cell>
          <cell r="AZ64">
            <v>70000</v>
          </cell>
          <cell r="BD64">
            <v>102283.24</v>
          </cell>
          <cell r="BE64">
            <v>1647.53</v>
          </cell>
          <cell r="CB64">
            <v>633741.56999999995</v>
          </cell>
          <cell r="CC64">
            <v>203201.46</v>
          </cell>
        </row>
        <row r="65">
          <cell r="B65">
            <v>420</v>
          </cell>
          <cell r="C65">
            <v>4</v>
          </cell>
          <cell r="D65" t="str">
            <v>MS</v>
          </cell>
          <cell r="E65">
            <v>587</v>
          </cell>
          <cell r="F65">
            <v>-54</v>
          </cell>
          <cell r="G65">
            <v>587</v>
          </cell>
          <cell r="H65">
            <v>239</v>
          </cell>
          <cell r="I65">
            <v>0.40715502555366268</v>
          </cell>
          <cell r="J65">
            <v>103.99419642857143</v>
          </cell>
          <cell r="K65">
            <v>309.98270089285717</v>
          </cell>
          <cell r="L65">
            <v>198942.26</v>
          </cell>
          <cell r="M65">
            <v>170748.67</v>
          </cell>
          <cell r="O65">
            <v>71961.03</v>
          </cell>
          <cell r="P65">
            <v>9294.2999999999993</v>
          </cell>
          <cell r="Q65">
            <v>79024.509999999995</v>
          </cell>
          <cell r="R65">
            <v>60058.83</v>
          </cell>
          <cell r="S65">
            <v>204749.06</v>
          </cell>
          <cell r="T65">
            <v>113832.45</v>
          </cell>
          <cell r="AG65">
            <v>3506151</v>
          </cell>
          <cell r="AH65">
            <v>200754</v>
          </cell>
          <cell r="AI65">
            <v>113832.45</v>
          </cell>
          <cell r="AJ65">
            <v>341497.34</v>
          </cell>
          <cell r="AK65">
            <v>1138324.46</v>
          </cell>
          <cell r="AL65">
            <v>341497.34</v>
          </cell>
          <cell r="AM65">
            <v>117499.28</v>
          </cell>
          <cell r="AO65">
            <v>57558.06</v>
          </cell>
          <cell r="AQ65">
            <v>186357.6</v>
          </cell>
          <cell r="AS65">
            <v>1650570.47</v>
          </cell>
          <cell r="AU65">
            <v>39166.43</v>
          </cell>
          <cell r="AV65">
            <v>555489</v>
          </cell>
          <cell r="BD65">
            <v>191361.66</v>
          </cell>
          <cell r="BE65">
            <v>3082.36</v>
          </cell>
          <cell r="BN65">
            <v>119483.41</v>
          </cell>
          <cell r="BO65">
            <v>3000</v>
          </cell>
          <cell r="BQ65">
            <v>53100</v>
          </cell>
          <cell r="BX65">
            <v>55921</v>
          </cell>
          <cell r="CB65">
            <v>641118.46</v>
          </cell>
          <cell r="CC65">
            <v>5017.32</v>
          </cell>
          <cell r="CE65">
            <v>25422.55</v>
          </cell>
        </row>
        <row r="66">
          <cell r="B66">
            <v>308</v>
          </cell>
          <cell r="C66">
            <v>8</v>
          </cell>
          <cell r="D66" t="str">
            <v>ES</v>
          </cell>
          <cell r="E66">
            <v>199</v>
          </cell>
          <cell r="F66">
            <v>-34</v>
          </cell>
          <cell r="G66">
            <v>150</v>
          </cell>
          <cell r="H66">
            <v>162</v>
          </cell>
          <cell r="I66">
            <v>0.81407035175879394</v>
          </cell>
          <cell r="J66">
            <v>26.998493303571429</v>
          </cell>
          <cell r="K66">
            <v>1.9998883928571429</v>
          </cell>
          <cell r="L66">
            <v>198942.26</v>
          </cell>
          <cell r="O66">
            <v>71961.03</v>
          </cell>
          <cell r="P66">
            <v>10416.5</v>
          </cell>
          <cell r="Q66">
            <v>79024.509999999995</v>
          </cell>
          <cell r="R66">
            <v>60058.83</v>
          </cell>
          <cell r="S66">
            <v>153561.79</v>
          </cell>
          <cell r="T66">
            <v>113832.45</v>
          </cell>
          <cell r="U66">
            <v>227664.89</v>
          </cell>
          <cell r="W66">
            <v>227664.89</v>
          </cell>
          <cell r="X66">
            <v>156665.71</v>
          </cell>
          <cell r="Y66">
            <v>87803.1</v>
          </cell>
          <cell r="AG66">
            <v>895950</v>
          </cell>
          <cell r="AH66">
            <v>64675</v>
          </cell>
          <cell r="AI66">
            <v>113832.45</v>
          </cell>
          <cell r="AJ66">
            <v>341497.34</v>
          </cell>
          <cell r="AK66">
            <v>341497.34</v>
          </cell>
          <cell r="AL66">
            <v>113832.45</v>
          </cell>
          <cell r="AM66">
            <v>39166.43</v>
          </cell>
          <cell r="AO66">
            <v>57558.06</v>
          </cell>
          <cell r="AQ66">
            <v>48381.3</v>
          </cell>
          <cell r="AT66">
            <v>10244.92</v>
          </cell>
          <cell r="AV66">
            <v>3583.8</v>
          </cell>
          <cell r="AW66">
            <v>20400</v>
          </cell>
          <cell r="AX66">
            <v>13600</v>
          </cell>
          <cell r="AY66">
            <v>10200</v>
          </cell>
          <cell r="BA66">
            <v>20400</v>
          </cell>
          <cell r="BC66">
            <v>13600</v>
          </cell>
          <cell r="BD66">
            <v>107695.05</v>
          </cell>
          <cell r="BE66">
            <v>1734.7</v>
          </cell>
          <cell r="BV66">
            <v>15325</v>
          </cell>
          <cell r="CB66">
            <v>434565.65</v>
          </cell>
          <cell r="CC66">
            <v>98435.04</v>
          </cell>
          <cell r="CE66">
            <v>147962.29999999999</v>
          </cell>
          <cell r="CF66">
            <v>399297.48</v>
          </cell>
        </row>
        <row r="67">
          <cell r="B67">
            <v>273</v>
          </cell>
          <cell r="C67">
            <v>3</v>
          </cell>
          <cell r="D67" t="str">
            <v>ES</v>
          </cell>
          <cell r="E67">
            <v>367</v>
          </cell>
          <cell r="F67">
            <v>-35</v>
          </cell>
          <cell r="G67">
            <v>331</v>
          </cell>
          <cell r="H67">
            <v>9</v>
          </cell>
          <cell r="I67">
            <v>2.4523160762942781E-2</v>
          </cell>
          <cell r="J67">
            <v>27.998437499999998</v>
          </cell>
          <cell r="K67">
            <v>55.996874999999996</v>
          </cell>
          <cell r="L67">
            <v>198942.26</v>
          </cell>
          <cell r="O67">
            <v>71961.03</v>
          </cell>
          <cell r="P67">
            <v>5504.45</v>
          </cell>
          <cell r="Q67">
            <v>79024.509999999995</v>
          </cell>
          <cell r="R67">
            <v>60058.83</v>
          </cell>
          <cell r="S67">
            <v>102374.53</v>
          </cell>
          <cell r="T67">
            <v>113832.45</v>
          </cell>
          <cell r="W67">
            <v>227664.89</v>
          </cell>
          <cell r="X67">
            <v>78332.850000000006</v>
          </cell>
          <cell r="Y67">
            <v>64508.4</v>
          </cell>
          <cell r="AG67">
            <v>1977063</v>
          </cell>
          <cell r="AH67">
            <v>119275</v>
          </cell>
          <cell r="AI67">
            <v>113832.45</v>
          </cell>
          <cell r="AJ67">
            <v>113832.45</v>
          </cell>
          <cell r="AK67">
            <v>341497.34</v>
          </cell>
          <cell r="AQ67">
            <v>50173.2</v>
          </cell>
          <cell r="AS67">
            <v>341497.34</v>
          </cell>
          <cell r="AV67">
            <v>100346.4</v>
          </cell>
          <cell r="BF67">
            <v>9175</v>
          </cell>
          <cell r="CB67">
            <v>24142.54</v>
          </cell>
          <cell r="CD67">
            <v>245377.21</v>
          </cell>
          <cell r="CE67">
            <v>136890.51999999999</v>
          </cell>
          <cell r="CF67">
            <v>138186.85</v>
          </cell>
          <cell r="CG67">
            <v>330941.28000000003</v>
          </cell>
        </row>
        <row r="68">
          <cell r="B68">
            <v>284</v>
          </cell>
          <cell r="C68">
            <v>1</v>
          </cell>
          <cell r="D68" t="str">
            <v>ES</v>
          </cell>
          <cell r="E68">
            <v>439</v>
          </cell>
          <cell r="F68">
            <v>-18</v>
          </cell>
          <cell r="G68">
            <v>343</v>
          </cell>
          <cell r="H68">
            <v>121</v>
          </cell>
          <cell r="I68">
            <v>0.27562642369020501</v>
          </cell>
          <cell r="J68">
            <v>58.99670758928572</v>
          </cell>
          <cell r="K68">
            <v>199.98883928571428</v>
          </cell>
          <cell r="L68">
            <v>198942.26</v>
          </cell>
          <cell r="O68">
            <v>71961.03</v>
          </cell>
          <cell r="P68">
            <v>7106</v>
          </cell>
          <cell r="Q68">
            <v>79024.509999999995</v>
          </cell>
          <cell r="R68">
            <v>60058.83</v>
          </cell>
          <cell r="S68">
            <v>102374.53</v>
          </cell>
          <cell r="T68">
            <v>113832.45</v>
          </cell>
          <cell r="U68">
            <v>341497.34</v>
          </cell>
          <cell r="W68">
            <v>341497.34</v>
          </cell>
          <cell r="X68">
            <v>234998.56</v>
          </cell>
          <cell r="Y68">
            <v>172022.39999999999</v>
          </cell>
          <cell r="AG68">
            <v>2048739</v>
          </cell>
          <cell r="AH68">
            <v>142675</v>
          </cell>
          <cell r="AI68">
            <v>113832.45</v>
          </cell>
          <cell r="AJ68">
            <v>455329.78</v>
          </cell>
          <cell r="AK68">
            <v>455329.78</v>
          </cell>
          <cell r="AL68">
            <v>113832.45</v>
          </cell>
          <cell r="AM68">
            <v>39166.43</v>
          </cell>
          <cell r="AO68">
            <v>57558.06</v>
          </cell>
          <cell r="AQ68">
            <v>105722.1</v>
          </cell>
          <cell r="AS68">
            <v>1081408.24</v>
          </cell>
          <cell r="AV68">
            <v>358380</v>
          </cell>
          <cell r="AW68">
            <v>40800</v>
          </cell>
          <cell r="AX68">
            <v>40800</v>
          </cell>
          <cell r="AY68">
            <v>10200</v>
          </cell>
          <cell r="BA68">
            <v>40800</v>
          </cell>
          <cell r="BC68">
            <v>40800</v>
          </cell>
          <cell r="BD68">
            <v>81393.649999999994</v>
          </cell>
          <cell r="BQ68">
            <v>48800</v>
          </cell>
          <cell r="BR68">
            <v>113832.45</v>
          </cell>
          <cell r="BS68">
            <v>74970.559999999998</v>
          </cell>
          <cell r="BT68">
            <v>97600</v>
          </cell>
          <cell r="BU68">
            <v>5000</v>
          </cell>
          <cell r="CB68">
            <v>324582.98</v>
          </cell>
          <cell r="CD68">
            <v>420715.02</v>
          </cell>
          <cell r="CE68">
            <v>240793.82</v>
          </cell>
          <cell r="CF68">
            <v>202387.73</v>
          </cell>
          <cell r="CG68">
            <v>176329.56</v>
          </cell>
        </row>
        <row r="69">
          <cell r="B69">
            <v>274</v>
          </cell>
          <cell r="C69">
            <v>6</v>
          </cell>
          <cell r="D69" t="str">
            <v>ES</v>
          </cell>
          <cell r="E69">
            <v>547</v>
          </cell>
          <cell r="F69">
            <v>38</v>
          </cell>
          <cell r="G69">
            <v>464</v>
          </cell>
          <cell r="H69">
            <v>64</v>
          </cell>
          <cell r="I69">
            <v>0.1170018281535649</v>
          </cell>
          <cell r="J69">
            <v>51.997098214285714</v>
          </cell>
          <cell r="K69">
            <v>3.9997767857142859</v>
          </cell>
          <cell r="L69">
            <v>198942.26</v>
          </cell>
          <cell r="O69">
            <v>71961.03</v>
          </cell>
          <cell r="P69">
            <v>4796</v>
          </cell>
          <cell r="Q69">
            <v>79024.509999999995</v>
          </cell>
          <cell r="R69">
            <v>60058.83</v>
          </cell>
          <cell r="S69">
            <v>153561.79</v>
          </cell>
          <cell r="T69">
            <v>113832.45</v>
          </cell>
          <cell r="U69">
            <v>227664.89</v>
          </cell>
          <cell r="V69">
            <v>113832.45</v>
          </cell>
          <cell r="W69">
            <v>227664.89</v>
          </cell>
          <cell r="X69">
            <v>195832.13</v>
          </cell>
          <cell r="Y69">
            <v>148727.70000000001</v>
          </cell>
          <cell r="AG69">
            <v>2771472</v>
          </cell>
          <cell r="AH69">
            <v>177775</v>
          </cell>
          <cell r="AI69">
            <v>113832.45</v>
          </cell>
          <cell r="AJ69">
            <v>113832.45</v>
          </cell>
          <cell r="AK69">
            <v>341497.34</v>
          </cell>
          <cell r="AQ69">
            <v>93178.8</v>
          </cell>
          <cell r="AT69">
            <v>20489.84</v>
          </cell>
          <cell r="AV69">
            <v>7167.6</v>
          </cell>
          <cell r="BF69">
            <v>13675</v>
          </cell>
          <cell r="CB69">
            <v>171680.26</v>
          </cell>
          <cell r="CD69">
            <v>25997.91</v>
          </cell>
          <cell r="CE69">
            <v>220358.6</v>
          </cell>
          <cell r="CF69">
            <v>322034.90999999997</v>
          </cell>
        </row>
        <row r="70">
          <cell r="B70">
            <v>435</v>
          </cell>
          <cell r="C70">
            <v>5</v>
          </cell>
          <cell r="D70" t="str">
            <v>MS</v>
          </cell>
          <cell r="E70">
            <v>281</v>
          </cell>
          <cell r="F70">
            <v>-19</v>
          </cell>
          <cell r="G70">
            <v>281</v>
          </cell>
          <cell r="H70">
            <v>174</v>
          </cell>
          <cell r="I70">
            <v>0.61921708185053381</v>
          </cell>
          <cell r="J70">
            <v>87.995089285714286</v>
          </cell>
          <cell r="K70">
            <v>12.999274553571428</v>
          </cell>
          <cell r="L70">
            <v>99471.13</v>
          </cell>
          <cell r="M70">
            <v>113832.45</v>
          </cell>
          <cell r="O70">
            <v>71961.03</v>
          </cell>
          <cell r="P70">
            <v>7670.45</v>
          </cell>
          <cell r="Q70">
            <v>79024.509999999995</v>
          </cell>
          <cell r="R70">
            <v>60058.83</v>
          </cell>
          <cell r="S70">
            <v>102374.53</v>
          </cell>
          <cell r="T70">
            <v>113832.45</v>
          </cell>
          <cell r="AG70">
            <v>1678413</v>
          </cell>
          <cell r="AH70">
            <v>96102</v>
          </cell>
          <cell r="AI70">
            <v>113832.45</v>
          </cell>
          <cell r="AJ70">
            <v>341497.34</v>
          </cell>
          <cell r="AK70">
            <v>569162.23</v>
          </cell>
          <cell r="AL70">
            <v>341497.34</v>
          </cell>
          <cell r="AM70">
            <v>117499.28</v>
          </cell>
          <cell r="AO70">
            <v>57558.06</v>
          </cell>
          <cell r="AQ70">
            <v>157687.20000000001</v>
          </cell>
          <cell r="AS70">
            <v>113832.45</v>
          </cell>
          <cell r="AV70">
            <v>23294.7</v>
          </cell>
          <cell r="BD70">
            <v>137676.49</v>
          </cell>
          <cell r="BE70">
            <v>2217.63</v>
          </cell>
          <cell r="CB70">
            <v>466755.7</v>
          </cell>
          <cell r="CC70">
            <v>73587.360000000001</v>
          </cell>
          <cell r="CD70">
            <v>104130.26</v>
          </cell>
        </row>
        <row r="71">
          <cell r="B71">
            <v>458</v>
          </cell>
          <cell r="C71">
            <v>5</v>
          </cell>
          <cell r="D71" t="str">
            <v>HS</v>
          </cell>
          <cell r="E71">
            <v>702</v>
          </cell>
          <cell r="F71">
            <v>6</v>
          </cell>
          <cell r="G71">
            <v>702</v>
          </cell>
          <cell r="H71">
            <v>250</v>
          </cell>
          <cell r="I71">
            <v>0.35612535612535612</v>
          </cell>
          <cell r="J71">
            <v>15.999107142857143</v>
          </cell>
          <cell r="K71">
            <v>10.999386160714286</v>
          </cell>
          <cell r="L71">
            <v>99471.13</v>
          </cell>
          <cell r="N71">
            <v>385274.79</v>
          </cell>
          <cell r="O71">
            <v>71961.03</v>
          </cell>
          <cell r="P71">
            <v>27090.54</v>
          </cell>
          <cell r="Q71">
            <v>79024.509999999995</v>
          </cell>
          <cell r="R71">
            <v>60058.83</v>
          </cell>
          <cell r="S71">
            <v>460685.38</v>
          </cell>
          <cell r="T71">
            <v>113832.45</v>
          </cell>
          <cell r="AC71">
            <v>1024492.02</v>
          </cell>
          <cell r="AE71">
            <v>104263.14</v>
          </cell>
          <cell r="AF71">
            <v>113832.45</v>
          </cell>
          <cell r="AG71">
            <v>4193046</v>
          </cell>
          <cell r="AH71">
            <v>416286</v>
          </cell>
          <cell r="AI71">
            <v>113832.45</v>
          </cell>
          <cell r="AJ71">
            <v>227664.89</v>
          </cell>
          <cell r="AK71">
            <v>227664.89</v>
          </cell>
          <cell r="AQ71">
            <v>28670.400000000001</v>
          </cell>
          <cell r="AS71">
            <v>113832.45</v>
          </cell>
          <cell r="AV71">
            <v>19710.900000000001</v>
          </cell>
          <cell r="BD71">
            <v>153262.51</v>
          </cell>
          <cell r="BE71">
            <v>2468.6799999999998</v>
          </cell>
          <cell r="BW71">
            <v>656092.98</v>
          </cell>
          <cell r="BY71">
            <v>443635.82</v>
          </cell>
          <cell r="CA71">
            <v>131776.46</v>
          </cell>
          <cell r="CB71">
            <v>706169.18</v>
          </cell>
        </row>
        <row r="72">
          <cell r="B72">
            <v>1165</v>
          </cell>
          <cell r="C72">
            <v>5</v>
          </cell>
          <cell r="D72" t="str">
            <v>ECE</v>
          </cell>
          <cell r="E72">
            <v>66</v>
          </cell>
          <cell r="F72">
            <v>-7</v>
          </cell>
          <cell r="G72">
            <v>0</v>
          </cell>
          <cell r="H72">
            <v>18</v>
          </cell>
          <cell r="I72">
            <v>0.27272727272727271</v>
          </cell>
          <cell r="J72">
            <v>11.999330357142856</v>
          </cell>
          <cell r="K72">
            <v>16.999051339285714</v>
          </cell>
          <cell r="L72">
            <v>99471.13</v>
          </cell>
          <cell r="O72">
            <v>71961.03</v>
          </cell>
          <cell r="P72">
            <v>3898.9</v>
          </cell>
          <cell r="Q72">
            <v>79024.509999999995</v>
          </cell>
          <cell r="R72">
            <v>60058.83</v>
          </cell>
          <cell r="S72">
            <v>51187.26</v>
          </cell>
          <cell r="T72">
            <v>113832.45</v>
          </cell>
          <cell r="U72">
            <v>227664.89</v>
          </cell>
          <cell r="W72">
            <v>227664.89</v>
          </cell>
          <cell r="X72">
            <v>156665.71</v>
          </cell>
          <cell r="Y72">
            <v>118265.4</v>
          </cell>
          <cell r="AA72">
            <v>335085.3</v>
          </cell>
          <cell r="AH72">
            <v>21450</v>
          </cell>
          <cell r="AI72">
            <v>113832.45</v>
          </cell>
          <cell r="AJ72">
            <v>113832.45</v>
          </cell>
          <cell r="AK72">
            <v>227664.89</v>
          </cell>
          <cell r="AL72">
            <v>227664.89</v>
          </cell>
          <cell r="AM72">
            <v>156665.71</v>
          </cell>
          <cell r="AQ72">
            <v>21502.799999999999</v>
          </cell>
          <cell r="AS72">
            <v>113832.45</v>
          </cell>
          <cell r="AV72">
            <v>30462.3</v>
          </cell>
          <cell r="BF72">
            <v>1650</v>
          </cell>
          <cell r="CB72">
            <v>48285.07</v>
          </cell>
          <cell r="CF72">
            <v>162202.73000000001</v>
          </cell>
        </row>
        <row r="73">
          <cell r="B73">
            <v>280</v>
          </cell>
          <cell r="C73">
            <v>6</v>
          </cell>
          <cell r="D73" t="str">
            <v>ES</v>
          </cell>
          <cell r="E73">
            <v>395</v>
          </cell>
          <cell r="F73">
            <v>-23</v>
          </cell>
          <cell r="G73">
            <v>283</v>
          </cell>
          <cell r="H73">
            <v>252</v>
          </cell>
          <cell r="I73">
            <v>0.63797468354430376</v>
          </cell>
          <cell r="J73">
            <v>72.995926339285717</v>
          </cell>
          <cell r="K73">
            <v>16.999051339285714</v>
          </cell>
          <cell r="L73">
            <v>198942.26</v>
          </cell>
          <cell r="O73">
            <v>71961.03</v>
          </cell>
          <cell r="P73">
            <v>7973.6</v>
          </cell>
          <cell r="Q73">
            <v>79024.509999999995</v>
          </cell>
          <cell r="R73">
            <v>60058.83</v>
          </cell>
          <cell r="S73">
            <v>153561.79</v>
          </cell>
          <cell r="T73">
            <v>113832.45</v>
          </cell>
          <cell r="U73">
            <v>341497.34</v>
          </cell>
          <cell r="V73">
            <v>113832.45</v>
          </cell>
          <cell r="W73">
            <v>455329.78</v>
          </cell>
          <cell r="X73">
            <v>313331.40999999997</v>
          </cell>
          <cell r="Y73">
            <v>200692.8</v>
          </cell>
          <cell r="AG73">
            <v>1690359</v>
          </cell>
          <cell r="AH73">
            <v>128375</v>
          </cell>
          <cell r="AI73">
            <v>113832.45</v>
          </cell>
          <cell r="AJ73">
            <v>227664.89</v>
          </cell>
          <cell r="AK73">
            <v>455329.78</v>
          </cell>
          <cell r="AL73">
            <v>455329.78</v>
          </cell>
          <cell r="AM73">
            <v>234998.56</v>
          </cell>
          <cell r="AQ73">
            <v>130808.7</v>
          </cell>
          <cell r="AS73">
            <v>113832.45</v>
          </cell>
          <cell r="AV73">
            <v>30462.3</v>
          </cell>
          <cell r="AW73">
            <v>20400</v>
          </cell>
          <cell r="AX73">
            <v>20400</v>
          </cell>
          <cell r="AY73">
            <v>10200</v>
          </cell>
          <cell r="BA73">
            <v>20400</v>
          </cell>
          <cell r="BC73">
            <v>20400</v>
          </cell>
          <cell r="BD73">
            <v>199154.67</v>
          </cell>
          <cell r="BE73">
            <v>3207.89</v>
          </cell>
          <cell r="CB73">
            <v>675991.01</v>
          </cell>
          <cell r="CC73">
            <v>112292.4</v>
          </cell>
          <cell r="CD73">
            <v>227132.35</v>
          </cell>
          <cell r="CE73">
            <v>276931.84000000003</v>
          </cell>
        </row>
        <row r="74">
          <cell r="B74">
            <v>285</v>
          </cell>
          <cell r="C74">
            <v>8</v>
          </cell>
          <cell r="D74" t="str">
            <v>ES</v>
          </cell>
          <cell r="E74">
            <v>211</v>
          </cell>
          <cell r="F74">
            <v>-27</v>
          </cell>
          <cell r="G74">
            <v>143</v>
          </cell>
          <cell r="H74">
            <v>189</v>
          </cell>
          <cell r="I74">
            <v>0.89573459715639814</v>
          </cell>
          <cell r="J74">
            <v>46.99737723214286</v>
          </cell>
          <cell r="K74">
            <v>0.99994419642857146</v>
          </cell>
          <cell r="L74">
            <v>198942.26</v>
          </cell>
          <cell r="O74">
            <v>71961.03</v>
          </cell>
          <cell r="P74">
            <v>7877.65</v>
          </cell>
          <cell r="Q74">
            <v>79024.509999999995</v>
          </cell>
          <cell r="R74">
            <v>60058.83</v>
          </cell>
          <cell r="S74">
            <v>102374.53</v>
          </cell>
          <cell r="T74">
            <v>113832.45</v>
          </cell>
          <cell r="U74">
            <v>227664.89</v>
          </cell>
          <cell r="V74">
            <v>113832.45</v>
          </cell>
          <cell r="W74">
            <v>227664.89</v>
          </cell>
          <cell r="X74">
            <v>195832.13</v>
          </cell>
          <cell r="Y74">
            <v>121849.2</v>
          </cell>
          <cell r="AG74">
            <v>854139</v>
          </cell>
          <cell r="AH74">
            <v>68575</v>
          </cell>
          <cell r="AI74">
            <v>113832.45</v>
          </cell>
          <cell r="AJ74">
            <v>113832.45</v>
          </cell>
          <cell r="AK74">
            <v>341497.34</v>
          </cell>
          <cell r="AL74">
            <v>227664.89</v>
          </cell>
          <cell r="AM74">
            <v>156665.71</v>
          </cell>
          <cell r="AQ74">
            <v>84219.3</v>
          </cell>
          <cell r="AT74">
            <v>5691.62</v>
          </cell>
          <cell r="AV74">
            <v>1791.9</v>
          </cell>
          <cell r="AW74">
            <v>13600</v>
          </cell>
          <cell r="AX74">
            <v>13600</v>
          </cell>
          <cell r="AY74">
            <v>10200</v>
          </cell>
          <cell r="BA74">
            <v>6800</v>
          </cell>
          <cell r="BC74">
            <v>6800</v>
          </cell>
          <cell r="BD74">
            <v>114189.23</v>
          </cell>
          <cell r="BE74">
            <v>1839.31</v>
          </cell>
          <cell r="BG74">
            <v>113832.45</v>
          </cell>
          <cell r="CB74">
            <v>506993.26</v>
          </cell>
          <cell r="CC74">
            <v>124955.16</v>
          </cell>
          <cell r="CD74">
            <v>150291.89000000001</v>
          </cell>
          <cell r="CE74">
            <v>17551.63</v>
          </cell>
          <cell r="CF74">
            <v>232663.72</v>
          </cell>
        </row>
        <row r="75">
          <cell r="B75">
            <v>287</v>
          </cell>
          <cell r="C75">
            <v>3</v>
          </cell>
          <cell r="D75" t="str">
            <v>ES</v>
          </cell>
          <cell r="E75">
            <v>622</v>
          </cell>
          <cell r="F75">
            <v>8</v>
          </cell>
          <cell r="G75">
            <v>559</v>
          </cell>
          <cell r="H75">
            <v>36</v>
          </cell>
          <cell r="I75">
            <v>5.7877813504823149E-2</v>
          </cell>
          <cell r="J75">
            <v>48.997265625000004</v>
          </cell>
          <cell r="K75">
            <v>77.995647321428578</v>
          </cell>
          <cell r="L75">
            <v>198942.26</v>
          </cell>
          <cell r="O75">
            <v>71961.03</v>
          </cell>
          <cell r="P75">
            <v>8488.1</v>
          </cell>
          <cell r="Q75">
            <v>79024.509999999995</v>
          </cell>
          <cell r="R75">
            <v>60058.83</v>
          </cell>
          <cell r="S75">
            <v>204749.06</v>
          </cell>
          <cell r="T75">
            <v>113832.45</v>
          </cell>
          <cell r="W75">
            <v>341497.34</v>
          </cell>
          <cell r="X75">
            <v>117499.28</v>
          </cell>
          <cell r="Y75">
            <v>112889.7</v>
          </cell>
          <cell r="AG75">
            <v>3338907</v>
          </cell>
          <cell r="AH75">
            <v>202150</v>
          </cell>
          <cell r="AI75">
            <v>113832.45</v>
          </cell>
          <cell r="AJ75">
            <v>227664.89</v>
          </cell>
          <cell r="AK75">
            <v>455329.78</v>
          </cell>
          <cell r="AL75">
            <v>455329.78</v>
          </cell>
          <cell r="AM75">
            <v>234998.56</v>
          </cell>
          <cell r="AQ75">
            <v>87803.1</v>
          </cell>
          <cell r="AS75">
            <v>455329.78</v>
          </cell>
          <cell r="AV75">
            <v>139768.20000000001</v>
          </cell>
          <cell r="BF75">
            <v>15550</v>
          </cell>
          <cell r="CB75">
            <v>96570.14</v>
          </cell>
          <cell r="CD75">
            <v>80653.88</v>
          </cell>
          <cell r="CE75">
            <v>248068.81</v>
          </cell>
          <cell r="CF75">
            <v>4710.3500000000004</v>
          </cell>
        </row>
        <row r="76">
          <cell r="B76">
            <v>288</v>
          </cell>
          <cell r="C76">
            <v>7</v>
          </cell>
          <cell r="D76" t="str">
            <v>ES</v>
          </cell>
          <cell r="E76">
            <v>309</v>
          </cell>
          <cell r="F76">
            <v>-17</v>
          </cell>
          <cell r="G76">
            <v>225</v>
          </cell>
          <cell r="H76">
            <v>224</v>
          </cell>
          <cell r="I76">
            <v>0.72491909385113273</v>
          </cell>
          <cell r="J76">
            <v>64.996372767857139</v>
          </cell>
          <cell r="K76">
            <v>33.998102678571428</v>
          </cell>
          <cell r="L76">
            <v>198942.26</v>
          </cell>
          <cell r="O76">
            <v>71961.03</v>
          </cell>
          <cell r="P76">
            <v>5527.4</v>
          </cell>
          <cell r="Q76">
            <v>79024.509999999995</v>
          </cell>
          <cell r="R76">
            <v>60058.83</v>
          </cell>
          <cell r="S76">
            <v>102374.53</v>
          </cell>
          <cell r="T76">
            <v>113832.45</v>
          </cell>
          <cell r="V76">
            <v>682994.68</v>
          </cell>
          <cell r="X76">
            <v>234998.56</v>
          </cell>
          <cell r="Y76">
            <v>150519.6</v>
          </cell>
          <cell r="AG76">
            <v>1343925</v>
          </cell>
          <cell r="AH76">
            <v>100425</v>
          </cell>
          <cell r="AI76">
            <v>113832.45</v>
          </cell>
          <cell r="AJ76">
            <v>113832.45</v>
          </cell>
          <cell r="AK76">
            <v>341497.34</v>
          </cell>
          <cell r="AL76">
            <v>341497.34</v>
          </cell>
          <cell r="AM76">
            <v>234998.56</v>
          </cell>
          <cell r="AQ76">
            <v>116473.5</v>
          </cell>
          <cell r="AS76">
            <v>227664.89</v>
          </cell>
          <cell r="AV76">
            <v>60924.6</v>
          </cell>
          <cell r="BD76">
            <v>166250.85999999999</v>
          </cell>
          <cell r="BE76">
            <v>2677.89</v>
          </cell>
          <cell r="CB76">
            <v>600880.9</v>
          </cell>
          <cell r="CC76">
            <v>119937.84</v>
          </cell>
          <cell r="CF76">
            <v>83167.520000000004</v>
          </cell>
        </row>
        <row r="77">
          <cell r="B77">
            <v>290</v>
          </cell>
          <cell r="C77">
            <v>5</v>
          </cell>
          <cell r="D77" t="str">
            <v>ES</v>
          </cell>
          <cell r="E77">
            <v>264</v>
          </cell>
          <cell r="F77">
            <v>40</v>
          </cell>
          <cell r="G77">
            <v>215</v>
          </cell>
          <cell r="H77">
            <v>184</v>
          </cell>
          <cell r="I77">
            <v>0.69696969696969702</v>
          </cell>
          <cell r="J77">
            <v>47.997321428571425</v>
          </cell>
          <cell r="K77">
            <v>33.998102678571428</v>
          </cell>
          <cell r="L77">
            <v>198942.26</v>
          </cell>
          <cell r="O77">
            <v>71961.03</v>
          </cell>
          <cell r="P77">
            <v>5031</v>
          </cell>
          <cell r="Q77">
            <v>79024.509999999995</v>
          </cell>
          <cell r="R77">
            <v>60058.83</v>
          </cell>
          <cell r="S77">
            <v>51187.26</v>
          </cell>
          <cell r="T77">
            <v>113832.45</v>
          </cell>
          <cell r="U77">
            <v>227664.89</v>
          </cell>
          <cell r="V77">
            <v>113832.45</v>
          </cell>
          <cell r="W77">
            <v>113832.45</v>
          </cell>
          <cell r="X77">
            <v>156665.71</v>
          </cell>
          <cell r="Y77">
            <v>87803.1</v>
          </cell>
          <cell r="AG77">
            <v>1284195</v>
          </cell>
          <cell r="AH77">
            <v>85800</v>
          </cell>
          <cell r="AI77">
            <v>113832.45</v>
          </cell>
          <cell r="AJ77">
            <v>113832.45</v>
          </cell>
          <cell r="AK77">
            <v>341497.34</v>
          </cell>
          <cell r="AL77">
            <v>455329.78</v>
          </cell>
          <cell r="AM77">
            <v>234998.56</v>
          </cell>
          <cell r="AQ77">
            <v>86011.199999999997</v>
          </cell>
          <cell r="AS77">
            <v>227664.89</v>
          </cell>
          <cell r="AV77">
            <v>60924.6</v>
          </cell>
          <cell r="AW77">
            <v>13600</v>
          </cell>
          <cell r="AX77">
            <v>13600</v>
          </cell>
          <cell r="AY77">
            <v>10200</v>
          </cell>
          <cell r="BA77">
            <v>13600</v>
          </cell>
          <cell r="BC77">
            <v>13600</v>
          </cell>
          <cell r="BD77">
            <v>142871.82999999999</v>
          </cell>
          <cell r="BE77">
            <v>2301.31</v>
          </cell>
          <cell r="BV77">
            <v>15325</v>
          </cell>
          <cell r="CB77">
            <v>493580.74</v>
          </cell>
          <cell r="CC77">
            <v>93656.639999999999</v>
          </cell>
          <cell r="CF77">
            <v>148525.07</v>
          </cell>
        </row>
        <row r="78">
          <cell r="B78">
            <v>292</v>
          </cell>
          <cell r="C78">
            <v>3</v>
          </cell>
          <cell r="D78" t="str">
            <v>EC</v>
          </cell>
          <cell r="E78">
            <v>755</v>
          </cell>
          <cell r="F78">
            <v>-6</v>
          </cell>
          <cell r="G78">
            <v>716</v>
          </cell>
          <cell r="H78">
            <v>73</v>
          </cell>
          <cell r="I78">
            <v>9.6688741721854307E-2</v>
          </cell>
          <cell r="J78">
            <v>63.996428571428574</v>
          </cell>
          <cell r="K78">
            <v>234.98688616071428</v>
          </cell>
          <cell r="L78">
            <v>198942.26</v>
          </cell>
          <cell r="M78">
            <v>113832.45</v>
          </cell>
          <cell r="O78">
            <v>71961.03</v>
          </cell>
          <cell r="P78">
            <v>8567.4500000000007</v>
          </cell>
          <cell r="Q78">
            <v>158049.01999999999</v>
          </cell>
          <cell r="R78">
            <v>60058.83</v>
          </cell>
          <cell r="S78">
            <v>204749.06</v>
          </cell>
          <cell r="T78">
            <v>227664.89</v>
          </cell>
          <cell r="W78">
            <v>227664.89</v>
          </cell>
          <cell r="X78">
            <v>78332.850000000006</v>
          </cell>
          <cell r="Y78">
            <v>69884.100000000006</v>
          </cell>
          <cell r="AB78">
            <v>1069167</v>
          </cell>
          <cell r="AG78">
            <v>4276668</v>
          </cell>
          <cell r="AH78">
            <v>249150</v>
          </cell>
          <cell r="AI78">
            <v>227664.89</v>
          </cell>
          <cell r="AJ78">
            <v>341497.34</v>
          </cell>
          <cell r="AK78">
            <v>682994.68</v>
          </cell>
          <cell r="AQ78">
            <v>114681.60000000001</v>
          </cell>
          <cell r="AS78">
            <v>1252156.9099999999</v>
          </cell>
          <cell r="AV78">
            <v>421096.5</v>
          </cell>
          <cell r="BF78">
            <v>18875</v>
          </cell>
          <cell r="BQ78">
            <v>500000</v>
          </cell>
          <cell r="CB78">
            <v>195822.79</v>
          </cell>
          <cell r="CE78">
            <v>427971</v>
          </cell>
        </row>
        <row r="79">
          <cell r="B79">
            <v>294</v>
          </cell>
          <cell r="C79">
            <v>8</v>
          </cell>
          <cell r="D79" t="str">
            <v>ES</v>
          </cell>
          <cell r="E79">
            <v>271</v>
          </cell>
          <cell r="F79">
            <v>-43</v>
          </cell>
          <cell r="G79">
            <v>210</v>
          </cell>
          <cell r="H79">
            <v>239</v>
          </cell>
          <cell r="I79">
            <v>0.88191881918819193</v>
          </cell>
          <cell r="J79">
            <v>47.997321428571425</v>
          </cell>
          <cell r="K79">
            <v>1.9998883928571429</v>
          </cell>
          <cell r="L79">
            <v>198942.26</v>
          </cell>
          <cell r="O79">
            <v>71961.03</v>
          </cell>
          <cell r="P79">
            <v>6497.25</v>
          </cell>
          <cell r="Q79">
            <v>79024.509999999995</v>
          </cell>
          <cell r="R79">
            <v>60058.83</v>
          </cell>
          <cell r="S79">
            <v>51187.26</v>
          </cell>
          <cell r="T79">
            <v>113832.45</v>
          </cell>
          <cell r="U79">
            <v>227664.89</v>
          </cell>
          <cell r="W79">
            <v>227664.89</v>
          </cell>
          <cell r="X79">
            <v>156665.71</v>
          </cell>
          <cell r="Y79">
            <v>109305.9</v>
          </cell>
          <cell r="AG79">
            <v>1254330</v>
          </cell>
          <cell r="AH79">
            <v>88075</v>
          </cell>
          <cell r="AI79">
            <v>113832.45</v>
          </cell>
          <cell r="AJ79">
            <v>170748.67</v>
          </cell>
          <cell r="AK79">
            <v>341497.34</v>
          </cell>
          <cell r="AL79">
            <v>341497.34</v>
          </cell>
          <cell r="AM79">
            <v>234998.56</v>
          </cell>
          <cell r="AQ79">
            <v>86011.199999999997</v>
          </cell>
          <cell r="AT79">
            <v>10244.92</v>
          </cell>
          <cell r="AV79">
            <v>3583.8</v>
          </cell>
          <cell r="AW79">
            <v>27200</v>
          </cell>
          <cell r="AX79">
            <v>27200</v>
          </cell>
          <cell r="AY79">
            <v>10200</v>
          </cell>
          <cell r="BA79">
            <v>27200</v>
          </cell>
          <cell r="BC79">
            <v>27200</v>
          </cell>
          <cell r="BD79">
            <v>146660.1</v>
          </cell>
          <cell r="BE79">
            <v>2362.33</v>
          </cell>
          <cell r="BG79">
            <v>113832.45</v>
          </cell>
          <cell r="BV79">
            <v>15325</v>
          </cell>
          <cell r="CB79">
            <v>641118.46</v>
          </cell>
          <cell r="CC79">
            <v>156014.76</v>
          </cell>
          <cell r="CD79">
            <v>313737.37</v>
          </cell>
          <cell r="CE79">
            <v>99193.16</v>
          </cell>
          <cell r="CF79">
            <v>265702.40000000002</v>
          </cell>
          <cell r="CG79">
            <v>553370.36</v>
          </cell>
        </row>
        <row r="80">
          <cell r="B80">
            <v>295</v>
          </cell>
          <cell r="C80">
            <v>6</v>
          </cell>
          <cell r="D80" t="str">
            <v>ES</v>
          </cell>
          <cell r="E80">
            <v>308</v>
          </cell>
          <cell r="F80">
            <v>-16</v>
          </cell>
          <cell r="G80">
            <v>227</v>
          </cell>
          <cell r="H80">
            <v>135</v>
          </cell>
          <cell r="I80">
            <v>0.43831168831168832</v>
          </cell>
          <cell r="J80">
            <v>39.997767857142854</v>
          </cell>
          <cell r="K80">
            <v>3.9997767857142859</v>
          </cell>
          <cell r="L80">
            <v>198942.26</v>
          </cell>
          <cell r="O80">
            <v>71961.03</v>
          </cell>
          <cell r="P80">
            <v>5865.5</v>
          </cell>
          <cell r="Q80">
            <v>79024.509999999995</v>
          </cell>
          <cell r="R80">
            <v>60058.83</v>
          </cell>
          <cell r="S80">
            <v>102374.53</v>
          </cell>
          <cell r="T80">
            <v>113832.45</v>
          </cell>
          <cell r="U80">
            <v>341497.34</v>
          </cell>
          <cell r="W80">
            <v>227664.89</v>
          </cell>
          <cell r="X80">
            <v>195832.13</v>
          </cell>
          <cell r="Y80">
            <v>145143.9</v>
          </cell>
          <cell r="AG80">
            <v>1355871</v>
          </cell>
          <cell r="AH80">
            <v>100100</v>
          </cell>
          <cell r="AI80">
            <v>113832.45</v>
          </cell>
          <cell r="AJ80">
            <v>341497.34</v>
          </cell>
          <cell r="AK80">
            <v>341497.34</v>
          </cell>
          <cell r="AL80">
            <v>455329.78</v>
          </cell>
          <cell r="AM80">
            <v>156665.71</v>
          </cell>
          <cell r="AO80">
            <v>57558.06</v>
          </cell>
          <cell r="AQ80">
            <v>71676</v>
          </cell>
          <cell r="AT80">
            <v>20489.84</v>
          </cell>
          <cell r="AV80">
            <v>7167.6</v>
          </cell>
          <cell r="AW80">
            <v>27200</v>
          </cell>
          <cell r="AX80">
            <v>34000</v>
          </cell>
          <cell r="BA80">
            <v>34000</v>
          </cell>
          <cell r="BB80">
            <v>10200</v>
          </cell>
          <cell r="BC80">
            <v>40800</v>
          </cell>
          <cell r="BD80">
            <v>79661.87</v>
          </cell>
          <cell r="BE80">
            <v>1283.1600000000001</v>
          </cell>
          <cell r="BV80">
            <v>15325</v>
          </cell>
          <cell r="CB80">
            <v>362138.04</v>
          </cell>
          <cell r="CC80">
            <v>14096.28</v>
          </cell>
          <cell r="CD80">
            <v>494.13</v>
          </cell>
          <cell r="CE80">
            <v>181632.75</v>
          </cell>
          <cell r="CF80">
            <v>280993.28000000003</v>
          </cell>
        </row>
        <row r="81">
          <cell r="B81">
            <v>301</v>
          </cell>
          <cell r="C81">
            <v>6</v>
          </cell>
          <cell r="D81" t="str">
            <v>ECE</v>
          </cell>
          <cell r="E81">
            <v>210</v>
          </cell>
          <cell r="F81">
            <v>-9</v>
          </cell>
          <cell r="G81">
            <v>72</v>
          </cell>
          <cell r="H81">
            <v>17</v>
          </cell>
          <cell r="I81">
            <v>8.0952380952380956E-2</v>
          </cell>
          <cell r="J81">
            <v>13.999218749999999</v>
          </cell>
          <cell r="K81">
            <v>0.99994419642857146</v>
          </cell>
          <cell r="O81">
            <v>71961.03</v>
          </cell>
          <cell r="P81">
            <v>4225.55</v>
          </cell>
          <cell r="Q81">
            <v>79024.509999999995</v>
          </cell>
          <cell r="R81">
            <v>60058.83</v>
          </cell>
          <cell r="S81">
            <v>51187.26</v>
          </cell>
          <cell r="T81">
            <v>113832.45</v>
          </cell>
          <cell r="U81">
            <v>455329.78</v>
          </cell>
          <cell r="W81">
            <v>455329.78</v>
          </cell>
          <cell r="X81">
            <v>313331.40999999997</v>
          </cell>
          <cell r="Y81">
            <v>247282.2</v>
          </cell>
          <cell r="AG81">
            <v>430056</v>
          </cell>
          <cell r="AH81">
            <v>68250</v>
          </cell>
          <cell r="AI81">
            <v>113832.45</v>
          </cell>
          <cell r="AJ81">
            <v>56916.22</v>
          </cell>
          <cell r="AK81">
            <v>113832.45</v>
          </cell>
          <cell r="AQ81">
            <v>25086.6</v>
          </cell>
          <cell r="AT81">
            <v>5691.62</v>
          </cell>
          <cell r="AV81">
            <v>1791.9</v>
          </cell>
          <cell r="BF81">
            <v>5250</v>
          </cell>
          <cell r="CB81">
            <v>45602.57</v>
          </cell>
          <cell r="CD81">
            <v>154478.10999999999</v>
          </cell>
          <cell r="CE81">
            <v>103649.49</v>
          </cell>
          <cell r="CF81">
            <v>146239.35</v>
          </cell>
          <cell r="CG81">
            <v>70972.17</v>
          </cell>
        </row>
        <row r="82">
          <cell r="B82">
            <v>478</v>
          </cell>
          <cell r="C82">
            <v>5</v>
          </cell>
          <cell r="D82" t="str">
            <v>HS</v>
          </cell>
          <cell r="E82">
            <v>352</v>
          </cell>
          <cell r="F82">
            <v>46</v>
          </cell>
          <cell r="G82">
            <v>352</v>
          </cell>
          <cell r="H82">
            <v>221</v>
          </cell>
          <cell r="I82">
            <v>0.62784090909090906</v>
          </cell>
          <cell r="J82">
            <v>48.997265625000004</v>
          </cell>
          <cell r="K82">
            <v>10.999386160714286</v>
          </cell>
          <cell r="L82">
            <v>198942.26</v>
          </cell>
          <cell r="N82">
            <v>192637.4</v>
          </cell>
          <cell r="O82">
            <v>71961.03</v>
          </cell>
          <cell r="P82">
            <v>14412.07</v>
          </cell>
          <cell r="Q82">
            <v>79024.509999999995</v>
          </cell>
          <cell r="R82">
            <v>60058.83</v>
          </cell>
          <cell r="S82">
            <v>204749.06</v>
          </cell>
          <cell r="T82">
            <v>113832.45</v>
          </cell>
          <cell r="AC82">
            <v>455329.78</v>
          </cell>
          <cell r="AD82">
            <v>257729.7</v>
          </cell>
          <cell r="AF82">
            <v>227664.89</v>
          </cell>
          <cell r="AG82">
            <v>2102496</v>
          </cell>
          <cell r="AH82">
            <v>208736</v>
          </cell>
          <cell r="AI82">
            <v>113832.45</v>
          </cell>
          <cell r="AJ82">
            <v>113832.45</v>
          </cell>
          <cell r="AK82">
            <v>569162.23</v>
          </cell>
          <cell r="AQ82">
            <v>87803.1</v>
          </cell>
          <cell r="AS82">
            <v>113832.45</v>
          </cell>
          <cell r="AV82">
            <v>19710.900000000001</v>
          </cell>
          <cell r="AZ82">
            <v>40000</v>
          </cell>
          <cell r="BD82">
            <v>122956.36</v>
          </cell>
          <cell r="BE82">
            <v>1980.52</v>
          </cell>
          <cell r="BX82">
            <v>55921</v>
          </cell>
          <cell r="BY82">
            <v>147878.60999999999</v>
          </cell>
          <cell r="BZ82">
            <v>119483.41</v>
          </cell>
          <cell r="CB82">
            <v>656542.85</v>
          </cell>
          <cell r="CC82">
            <v>95806.92</v>
          </cell>
        </row>
        <row r="83">
          <cell r="B83">
            <v>299</v>
          </cell>
          <cell r="C83">
            <v>7</v>
          </cell>
          <cell r="D83" t="str">
            <v>ES</v>
          </cell>
          <cell r="E83">
            <v>221</v>
          </cell>
          <cell r="F83">
            <v>-18</v>
          </cell>
          <cell r="G83">
            <v>157</v>
          </cell>
          <cell r="H83">
            <v>177</v>
          </cell>
          <cell r="I83">
            <v>0.80090497737556565</v>
          </cell>
          <cell r="J83">
            <v>51.997098214285714</v>
          </cell>
          <cell r="K83">
            <v>16.999051339285714</v>
          </cell>
          <cell r="L83">
            <v>198942.26</v>
          </cell>
          <cell r="O83">
            <v>71961.03</v>
          </cell>
          <cell r="P83">
            <v>5928.6</v>
          </cell>
          <cell r="Q83">
            <v>79024.509999999995</v>
          </cell>
          <cell r="R83">
            <v>60058.83</v>
          </cell>
          <cell r="S83">
            <v>51187.26</v>
          </cell>
          <cell r="T83">
            <v>113832.45</v>
          </cell>
          <cell r="V83">
            <v>455329.78</v>
          </cell>
          <cell r="X83">
            <v>156665.71</v>
          </cell>
          <cell r="Y83">
            <v>114681.60000000001</v>
          </cell>
          <cell r="AG83">
            <v>937761</v>
          </cell>
          <cell r="AH83">
            <v>71825</v>
          </cell>
          <cell r="AI83">
            <v>113832.45</v>
          </cell>
          <cell r="AJ83">
            <v>170748.67</v>
          </cell>
          <cell r="AK83">
            <v>341497.34</v>
          </cell>
          <cell r="AL83">
            <v>341497.34</v>
          </cell>
          <cell r="AM83">
            <v>234998.56</v>
          </cell>
          <cell r="AQ83">
            <v>93178.8</v>
          </cell>
          <cell r="AS83">
            <v>113832.45</v>
          </cell>
          <cell r="AV83">
            <v>30462.3</v>
          </cell>
          <cell r="AW83">
            <v>13600</v>
          </cell>
          <cell r="AX83">
            <v>13600</v>
          </cell>
          <cell r="BA83">
            <v>27200</v>
          </cell>
          <cell r="BB83">
            <v>10200</v>
          </cell>
          <cell r="BC83">
            <v>27200</v>
          </cell>
          <cell r="BD83">
            <v>119601.04</v>
          </cell>
          <cell r="BE83">
            <v>1926.48</v>
          </cell>
          <cell r="CB83">
            <v>474803.21</v>
          </cell>
          <cell r="CC83">
            <v>105841.56</v>
          </cell>
          <cell r="CD83">
            <v>154986.56</v>
          </cell>
          <cell r="CE83">
            <v>193230.93</v>
          </cell>
          <cell r="CF83">
            <v>251525.46</v>
          </cell>
        </row>
        <row r="84">
          <cell r="B84">
            <v>300</v>
          </cell>
          <cell r="C84">
            <v>4</v>
          </cell>
          <cell r="D84" t="str">
            <v>ES</v>
          </cell>
          <cell r="E84">
            <v>501</v>
          </cell>
          <cell r="F84">
            <v>-13</v>
          </cell>
          <cell r="G84">
            <v>421</v>
          </cell>
          <cell r="H84">
            <v>197</v>
          </cell>
          <cell r="I84">
            <v>0.39321357285429143</v>
          </cell>
          <cell r="J84">
            <v>56.996819196428575</v>
          </cell>
          <cell r="K84">
            <v>319.98214285714283</v>
          </cell>
          <cell r="L84">
            <v>198942.26</v>
          </cell>
          <cell r="O84">
            <v>71961.03</v>
          </cell>
          <cell r="P84">
            <v>6298.4</v>
          </cell>
          <cell r="Q84">
            <v>79024.509999999995</v>
          </cell>
          <cell r="R84">
            <v>60058.83</v>
          </cell>
          <cell r="S84">
            <v>153561.79</v>
          </cell>
          <cell r="T84">
            <v>113832.45</v>
          </cell>
          <cell r="V84">
            <v>569162.23</v>
          </cell>
          <cell r="X84">
            <v>195832.13</v>
          </cell>
          <cell r="Y84">
            <v>143352</v>
          </cell>
          <cell r="AG84">
            <v>2514633</v>
          </cell>
          <cell r="AH84">
            <v>162825</v>
          </cell>
          <cell r="AI84">
            <v>113832.45</v>
          </cell>
          <cell r="AJ84">
            <v>227664.89</v>
          </cell>
          <cell r="AK84">
            <v>569162.23</v>
          </cell>
          <cell r="AQ84">
            <v>102138.3</v>
          </cell>
          <cell r="AS84">
            <v>1707486.69</v>
          </cell>
          <cell r="AU84">
            <v>39166.43</v>
          </cell>
          <cell r="AV84">
            <v>573408</v>
          </cell>
          <cell r="AW84">
            <v>27200</v>
          </cell>
          <cell r="AX84">
            <v>47600</v>
          </cell>
          <cell r="AY84">
            <v>10200</v>
          </cell>
          <cell r="BA84">
            <v>47600</v>
          </cell>
          <cell r="BC84">
            <v>68000</v>
          </cell>
          <cell r="BD84">
            <v>119492.8</v>
          </cell>
          <cell r="BE84">
            <v>1924.73</v>
          </cell>
          <cell r="BQ84">
            <v>82400</v>
          </cell>
          <cell r="CB84">
            <v>528453.29</v>
          </cell>
          <cell r="CD84">
            <v>388944.04</v>
          </cell>
          <cell r="CE84">
            <v>138336.74</v>
          </cell>
        </row>
        <row r="85">
          <cell r="B85">
            <v>316</v>
          </cell>
          <cell r="C85">
            <v>7</v>
          </cell>
          <cell r="D85" t="str">
            <v>ES</v>
          </cell>
          <cell r="E85">
            <v>304</v>
          </cell>
          <cell r="F85">
            <v>-27</v>
          </cell>
          <cell r="G85">
            <v>220</v>
          </cell>
          <cell r="H85">
            <v>176</v>
          </cell>
          <cell r="I85">
            <v>0.57894736842105265</v>
          </cell>
          <cell r="J85">
            <v>51.997098214285714</v>
          </cell>
          <cell r="K85">
            <v>1.9998883928571429</v>
          </cell>
          <cell r="L85">
            <v>198942.26</v>
          </cell>
          <cell r="O85">
            <v>71961.03</v>
          </cell>
          <cell r="P85">
            <v>6469.35</v>
          </cell>
          <cell r="Q85">
            <v>79024.509999999995</v>
          </cell>
          <cell r="R85">
            <v>60058.83</v>
          </cell>
          <cell r="S85">
            <v>102374.53</v>
          </cell>
          <cell r="T85">
            <v>113832.45</v>
          </cell>
          <cell r="U85">
            <v>341497.34</v>
          </cell>
          <cell r="W85">
            <v>341497.34</v>
          </cell>
          <cell r="X85">
            <v>234998.56</v>
          </cell>
          <cell r="Y85">
            <v>150519.6</v>
          </cell>
          <cell r="AG85">
            <v>1314060</v>
          </cell>
          <cell r="AH85">
            <v>98800</v>
          </cell>
          <cell r="AI85">
            <v>113832.45</v>
          </cell>
          <cell r="AJ85">
            <v>113832.45</v>
          </cell>
          <cell r="AK85">
            <v>455329.78</v>
          </cell>
          <cell r="AL85">
            <v>227664.89</v>
          </cell>
          <cell r="AM85">
            <v>117499.28</v>
          </cell>
          <cell r="AO85">
            <v>57558.06</v>
          </cell>
          <cell r="AQ85">
            <v>93178.8</v>
          </cell>
          <cell r="AT85">
            <v>10244.92</v>
          </cell>
          <cell r="AV85">
            <v>3583.8</v>
          </cell>
          <cell r="AW85">
            <v>13600</v>
          </cell>
          <cell r="AX85">
            <v>13600</v>
          </cell>
          <cell r="BA85">
            <v>20400</v>
          </cell>
          <cell r="BB85">
            <v>10200</v>
          </cell>
          <cell r="BC85">
            <v>20400</v>
          </cell>
          <cell r="BD85">
            <v>136810.6</v>
          </cell>
          <cell r="BE85">
            <v>2203.6799999999998</v>
          </cell>
          <cell r="BV85">
            <v>15325</v>
          </cell>
          <cell r="CB85">
            <v>472120.7</v>
          </cell>
          <cell r="CC85">
            <v>64986.239999999998</v>
          </cell>
          <cell r="CF85">
            <v>248619.62</v>
          </cell>
        </row>
        <row r="86">
          <cell r="B86">
            <v>302</v>
          </cell>
          <cell r="C86">
            <v>4</v>
          </cell>
          <cell r="D86" t="str">
            <v>ES</v>
          </cell>
          <cell r="E86">
            <v>394</v>
          </cell>
          <cell r="F86">
            <v>-79</v>
          </cell>
          <cell r="G86">
            <v>304</v>
          </cell>
          <cell r="H86">
            <v>209</v>
          </cell>
          <cell r="I86">
            <v>0.53045685279187815</v>
          </cell>
          <cell r="J86">
            <v>77.995647321428578</v>
          </cell>
          <cell r="K86">
            <v>209.98828125</v>
          </cell>
          <cell r="L86">
            <v>198942.26</v>
          </cell>
          <cell r="O86">
            <v>71961.03</v>
          </cell>
          <cell r="P86">
            <v>6391.35</v>
          </cell>
          <cell r="Q86">
            <v>79024.509999999995</v>
          </cell>
          <cell r="R86">
            <v>60058.83</v>
          </cell>
          <cell r="S86">
            <v>102374.53</v>
          </cell>
          <cell r="T86">
            <v>113832.45</v>
          </cell>
          <cell r="U86">
            <v>341497.34</v>
          </cell>
          <cell r="W86">
            <v>341497.34</v>
          </cell>
          <cell r="X86">
            <v>234998.56</v>
          </cell>
          <cell r="Y86">
            <v>161271</v>
          </cell>
          <cell r="AG86">
            <v>1815792</v>
          </cell>
          <cell r="AH86">
            <v>128050</v>
          </cell>
          <cell r="AI86">
            <v>113832.45</v>
          </cell>
          <cell r="AJ86">
            <v>227664.89</v>
          </cell>
          <cell r="AK86">
            <v>455329.78</v>
          </cell>
          <cell r="AL86">
            <v>341497.34</v>
          </cell>
          <cell r="AM86">
            <v>234998.56</v>
          </cell>
          <cell r="AQ86">
            <v>139768.20000000001</v>
          </cell>
          <cell r="AS86">
            <v>1138324.46</v>
          </cell>
          <cell r="AU86">
            <v>39166.43</v>
          </cell>
          <cell r="AV86">
            <v>376299</v>
          </cell>
          <cell r="AW86">
            <v>20400</v>
          </cell>
          <cell r="AX86">
            <v>13600</v>
          </cell>
          <cell r="BA86">
            <v>34000</v>
          </cell>
          <cell r="BB86">
            <v>10200</v>
          </cell>
          <cell r="BC86">
            <v>27200</v>
          </cell>
          <cell r="BD86">
            <v>159323.74</v>
          </cell>
          <cell r="BE86">
            <v>2566.31</v>
          </cell>
          <cell r="BV86">
            <v>15325</v>
          </cell>
          <cell r="CB86">
            <v>560643.34</v>
          </cell>
          <cell r="CC86">
            <v>61402.44</v>
          </cell>
          <cell r="CD86">
            <v>421074.37</v>
          </cell>
          <cell r="CE86">
            <v>74789.73</v>
          </cell>
          <cell r="CG86">
            <v>373179.98</v>
          </cell>
        </row>
        <row r="87">
          <cell r="B87">
            <v>304</v>
          </cell>
          <cell r="C87">
            <v>7</v>
          </cell>
          <cell r="D87" t="str">
            <v>SE</v>
          </cell>
          <cell r="E87">
            <v>106</v>
          </cell>
          <cell r="F87">
            <v>-26</v>
          </cell>
          <cell r="G87">
            <v>106</v>
          </cell>
          <cell r="H87">
            <v>53</v>
          </cell>
          <cell r="I87">
            <v>0.5</v>
          </cell>
          <cell r="J87">
            <v>105.99408482142857</v>
          </cell>
          <cell r="K87">
            <v>12.999274553571428</v>
          </cell>
          <cell r="L87">
            <v>198942.26</v>
          </cell>
          <cell r="O87">
            <v>71961.03</v>
          </cell>
          <cell r="P87">
            <v>5596</v>
          </cell>
          <cell r="Q87">
            <v>79024.509999999995</v>
          </cell>
          <cell r="R87">
            <v>60058.83</v>
          </cell>
          <cell r="S87">
            <v>51187.26</v>
          </cell>
          <cell r="T87">
            <v>113832.45</v>
          </cell>
          <cell r="AC87">
            <v>113832.45</v>
          </cell>
          <cell r="AG87">
            <v>633138</v>
          </cell>
          <cell r="AH87">
            <v>228112</v>
          </cell>
          <cell r="AI87">
            <v>113832.45</v>
          </cell>
          <cell r="AJ87">
            <v>113832.45</v>
          </cell>
          <cell r="AL87">
            <v>2390481.37</v>
          </cell>
          <cell r="AN87">
            <v>1048434.09</v>
          </cell>
          <cell r="AQ87">
            <v>189941.4</v>
          </cell>
          <cell r="AR87">
            <v>284912.09999999998</v>
          </cell>
          <cell r="AS87">
            <v>113832.45</v>
          </cell>
          <cell r="AV87">
            <v>23294.7</v>
          </cell>
          <cell r="AW87">
            <v>27200</v>
          </cell>
          <cell r="AX87">
            <v>20400</v>
          </cell>
          <cell r="BA87">
            <v>54400</v>
          </cell>
          <cell r="BB87">
            <v>10200</v>
          </cell>
          <cell r="BC87">
            <v>27200</v>
          </cell>
          <cell r="BD87">
            <v>51953.39</v>
          </cell>
          <cell r="BE87">
            <v>836.84</v>
          </cell>
          <cell r="BY87">
            <v>147878.60999999999</v>
          </cell>
          <cell r="CB87">
            <v>142172.71</v>
          </cell>
          <cell r="CC87">
            <v>12662.76</v>
          </cell>
        </row>
        <row r="88">
          <cell r="B88">
            <v>436</v>
          </cell>
          <cell r="C88">
            <v>7</v>
          </cell>
          <cell r="D88" t="str">
            <v>HS</v>
          </cell>
          <cell r="E88">
            <v>200</v>
          </cell>
          <cell r="F88">
            <v>-16</v>
          </cell>
          <cell r="G88">
            <v>200</v>
          </cell>
          <cell r="H88">
            <v>160</v>
          </cell>
          <cell r="I88">
            <v>0.8</v>
          </cell>
          <cell r="J88">
            <v>48.997265625000004</v>
          </cell>
          <cell r="K88">
            <v>0.99994419642857146</v>
          </cell>
          <cell r="L88">
            <v>198942.26</v>
          </cell>
          <cell r="N88">
            <v>128424.93</v>
          </cell>
          <cell r="O88">
            <v>71961.03</v>
          </cell>
          <cell r="P88">
            <v>16547.77</v>
          </cell>
          <cell r="Q88">
            <v>79024.509999999995</v>
          </cell>
          <cell r="R88">
            <v>60058.83</v>
          </cell>
          <cell r="S88">
            <v>255936.32</v>
          </cell>
          <cell r="T88">
            <v>113832.45</v>
          </cell>
          <cell r="AC88">
            <v>113832.45</v>
          </cell>
          <cell r="AF88">
            <v>227664.89</v>
          </cell>
          <cell r="AG88">
            <v>1194600</v>
          </cell>
          <cell r="AH88">
            <v>118600</v>
          </cell>
          <cell r="AI88">
            <v>170748.67</v>
          </cell>
          <cell r="AJ88">
            <v>284581.12</v>
          </cell>
          <cell r="AK88">
            <v>682994.68</v>
          </cell>
          <cell r="AQ88">
            <v>87803.1</v>
          </cell>
          <cell r="AT88">
            <v>5691.62</v>
          </cell>
          <cell r="AV88">
            <v>1791.9</v>
          </cell>
          <cell r="AZ88">
            <v>60000</v>
          </cell>
          <cell r="BD88">
            <v>69271.19</v>
          </cell>
          <cell r="BE88">
            <v>1115.79</v>
          </cell>
          <cell r="BH88">
            <v>158559.82</v>
          </cell>
          <cell r="BI88">
            <v>14666.09</v>
          </cell>
          <cell r="BJ88">
            <v>20550</v>
          </cell>
          <cell r="BK88">
            <v>8400</v>
          </cell>
          <cell r="CB88">
            <v>469438.2</v>
          </cell>
          <cell r="CC88">
            <v>119460</v>
          </cell>
          <cell r="CD88">
            <v>318599.71999999997</v>
          </cell>
          <cell r="CE88">
            <v>85615.88</v>
          </cell>
          <cell r="CF88">
            <v>60690.65</v>
          </cell>
          <cell r="CG88">
            <v>1258206.3400000001</v>
          </cell>
        </row>
        <row r="89">
          <cell r="B89">
            <v>459</v>
          </cell>
          <cell r="C89">
            <v>4</v>
          </cell>
          <cell r="D89" t="str">
            <v>HS</v>
          </cell>
          <cell r="E89">
            <v>868</v>
          </cell>
          <cell r="F89">
            <v>78</v>
          </cell>
          <cell r="G89">
            <v>868</v>
          </cell>
          <cell r="H89">
            <v>626</v>
          </cell>
          <cell r="I89">
            <v>0.72119815668202769</v>
          </cell>
          <cell r="J89">
            <v>154.99135044642858</v>
          </cell>
          <cell r="K89">
            <v>329.98158482142856</v>
          </cell>
          <cell r="L89">
            <v>198942.26</v>
          </cell>
          <cell r="N89">
            <v>449487.26</v>
          </cell>
          <cell r="O89">
            <v>71961.03</v>
          </cell>
          <cell r="P89">
            <v>25689</v>
          </cell>
          <cell r="Q89">
            <v>79024.509999999995</v>
          </cell>
          <cell r="R89">
            <v>60058.83</v>
          </cell>
          <cell r="S89">
            <v>409498.11</v>
          </cell>
          <cell r="T89">
            <v>113832.45</v>
          </cell>
          <cell r="AC89">
            <v>227664.89</v>
          </cell>
          <cell r="AF89">
            <v>227664.89</v>
          </cell>
          <cell r="AG89">
            <v>5184564</v>
          </cell>
          <cell r="AH89">
            <v>514724</v>
          </cell>
          <cell r="AI89">
            <v>227664.89</v>
          </cell>
          <cell r="AJ89">
            <v>569162.23</v>
          </cell>
          <cell r="AK89">
            <v>1252156.9099999999</v>
          </cell>
          <cell r="AL89">
            <v>682994.68</v>
          </cell>
          <cell r="AM89">
            <v>313331.40999999997</v>
          </cell>
          <cell r="AO89">
            <v>57558.06</v>
          </cell>
          <cell r="AQ89">
            <v>277744.5</v>
          </cell>
          <cell r="AS89">
            <v>1707486.69</v>
          </cell>
          <cell r="AU89">
            <v>78332.850000000006</v>
          </cell>
          <cell r="AV89">
            <v>591327</v>
          </cell>
          <cell r="AZ89">
            <v>75000</v>
          </cell>
          <cell r="BD89">
            <v>309988.58</v>
          </cell>
          <cell r="BE89">
            <v>4993.1499999999996</v>
          </cell>
          <cell r="BH89">
            <v>158559.82</v>
          </cell>
          <cell r="BI89">
            <v>25216.09</v>
          </cell>
          <cell r="BJ89">
            <v>10000</v>
          </cell>
          <cell r="BK89">
            <v>36800</v>
          </cell>
          <cell r="BN89">
            <v>119483.41</v>
          </cell>
          <cell r="BO89">
            <v>3000</v>
          </cell>
          <cell r="BQ89">
            <v>35100</v>
          </cell>
          <cell r="BR89">
            <v>113832.45</v>
          </cell>
          <cell r="BT89">
            <v>140941</v>
          </cell>
          <cell r="BU89">
            <v>5000</v>
          </cell>
          <cell r="BX89">
            <v>188121</v>
          </cell>
          <cell r="BY89">
            <v>147878.60999999999</v>
          </cell>
          <cell r="CB89">
            <v>1890494.69</v>
          </cell>
          <cell r="CC89">
            <v>355035.12</v>
          </cell>
        </row>
        <row r="90">
          <cell r="B90">
            <v>456</v>
          </cell>
          <cell r="C90">
            <v>4</v>
          </cell>
          <cell r="D90" t="str">
            <v>HS</v>
          </cell>
          <cell r="E90">
            <v>590</v>
          </cell>
          <cell r="F90">
            <v>-105</v>
          </cell>
          <cell r="G90">
            <v>590</v>
          </cell>
          <cell r="H90">
            <v>390</v>
          </cell>
          <cell r="I90">
            <v>0.66101694915254239</v>
          </cell>
          <cell r="J90">
            <v>67.996205357142856</v>
          </cell>
          <cell r="K90">
            <v>199.98883928571428</v>
          </cell>
          <cell r="L90">
            <v>198942.26</v>
          </cell>
          <cell r="N90">
            <v>256849.86</v>
          </cell>
          <cell r="O90">
            <v>71961.03</v>
          </cell>
          <cell r="P90">
            <v>8756</v>
          </cell>
          <cell r="Q90">
            <v>79024.509999999995</v>
          </cell>
          <cell r="R90">
            <v>60058.83</v>
          </cell>
          <cell r="S90">
            <v>153561.79</v>
          </cell>
          <cell r="T90">
            <v>113832.45</v>
          </cell>
          <cell r="AC90">
            <v>341497.34</v>
          </cell>
          <cell r="AD90">
            <v>171819.8</v>
          </cell>
          <cell r="AG90">
            <v>3524070</v>
          </cell>
          <cell r="AH90">
            <v>349870</v>
          </cell>
          <cell r="AI90">
            <v>113832.45</v>
          </cell>
          <cell r="AJ90">
            <v>341497.34</v>
          </cell>
          <cell r="AK90">
            <v>796827.12</v>
          </cell>
          <cell r="AL90">
            <v>227664.89</v>
          </cell>
          <cell r="AM90">
            <v>78332.850000000006</v>
          </cell>
          <cell r="AO90">
            <v>57558.06</v>
          </cell>
          <cell r="AQ90">
            <v>121849.2</v>
          </cell>
          <cell r="AS90">
            <v>1081408.24</v>
          </cell>
          <cell r="AU90">
            <v>39166.43</v>
          </cell>
          <cell r="AV90">
            <v>358380</v>
          </cell>
          <cell r="AZ90">
            <v>70000</v>
          </cell>
          <cell r="BF90">
            <v>14750</v>
          </cell>
          <cell r="CB90">
            <v>1307720.7</v>
          </cell>
          <cell r="CC90">
            <v>183968.4</v>
          </cell>
        </row>
        <row r="91">
          <cell r="B91">
            <v>305</v>
          </cell>
          <cell r="C91">
            <v>2</v>
          </cell>
          <cell r="D91" t="str">
            <v>ES</v>
          </cell>
          <cell r="E91">
            <v>171</v>
          </cell>
          <cell r="F91">
            <v>-10</v>
          </cell>
          <cell r="G91">
            <v>152</v>
          </cell>
          <cell r="H91">
            <v>6</v>
          </cell>
          <cell r="I91">
            <v>3.5087719298245612E-2</v>
          </cell>
          <cell r="J91">
            <v>12.999274553571428</v>
          </cell>
          <cell r="K91">
            <v>33.998102678571428</v>
          </cell>
          <cell r="L91">
            <v>198942.26</v>
          </cell>
          <cell r="O91">
            <v>71961.03</v>
          </cell>
          <cell r="P91">
            <v>3495.6</v>
          </cell>
          <cell r="Q91">
            <v>79024.509999999995</v>
          </cell>
          <cell r="R91">
            <v>60058.83</v>
          </cell>
          <cell r="S91">
            <v>51187.26</v>
          </cell>
          <cell r="T91">
            <v>113832.45</v>
          </cell>
          <cell r="W91">
            <v>113832.45</v>
          </cell>
          <cell r="X91">
            <v>39166.43</v>
          </cell>
          <cell r="Y91">
            <v>34046.1</v>
          </cell>
          <cell r="AG91">
            <v>907896</v>
          </cell>
          <cell r="AH91">
            <v>55575</v>
          </cell>
          <cell r="AI91">
            <v>113832.45</v>
          </cell>
          <cell r="AJ91">
            <v>113832.45</v>
          </cell>
          <cell r="AK91">
            <v>227664.89</v>
          </cell>
          <cell r="AQ91">
            <v>23294.7</v>
          </cell>
          <cell r="AS91">
            <v>227664.89</v>
          </cell>
          <cell r="AV91">
            <v>60924.6</v>
          </cell>
          <cell r="BF91">
            <v>4275</v>
          </cell>
          <cell r="BV91">
            <v>15325</v>
          </cell>
          <cell r="CB91">
            <v>16095.02</v>
          </cell>
          <cell r="CD91">
            <v>16560.560000000001</v>
          </cell>
          <cell r="CE91">
            <v>96204.19</v>
          </cell>
          <cell r="CF91">
            <v>621121.77</v>
          </cell>
        </row>
        <row r="92">
          <cell r="B92">
            <v>307</v>
          </cell>
          <cell r="C92">
            <v>8</v>
          </cell>
          <cell r="D92" t="str">
            <v>ES</v>
          </cell>
          <cell r="E92">
            <v>265</v>
          </cell>
          <cell r="F92">
            <v>6</v>
          </cell>
          <cell r="G92">
            <v>207</v>
          </cell>
          <cell r="H92">
            <v>225</v>
          </cell>
          <cell r="I92">
            <v>0.84905660377358494</v>
          </cell>
          <cell r="J92">
            <v>73.995870535714289</v>
          </cell>
          <cell r="K92">
            <v>1.9998883928571429</v>
          </cell>
          <cell r="L92">
            <v>198942.26</v>
          </cell>
          <cell r="O92">
            <v>71961.03</v>
          </cell>
          <cell r="P92">
            <v>7007.65</v>
          </cell>
          <cell r="Q92">
            <v>79024.509999999995</v>
          </cell>
          <cell r="R92">
            <v>60058.83</v>
          </cell>
          <cell r="S92">
            <v>51187.26</v>
          </cell>
          <cell r="T92">
            <v>113832.45</v>
          </cell>
          <cell r="U92">
            <v>227664.89</v>
          </cell>
          <cell r="W92">
            <v>227664.89</v>
          </cell>
          <cell r="X92">
            <v>156665.71</v>
          </cell>
          <cell r="Y92">
            <v>103930.2</v>
          </cell>
          <cell r="AG92">
            <v>1236411</v>
          </cell>
          <cell r="AH92">
            <v>86125</v>
          </cell>
          <cell r="AI92">
            <v>113832.45</v>
          </cell>
          <cell r="AJ92">
            <v>113832.45</v>
          </cell>
          <cell r="AK92">
            <v>341497.34</v>
          </cell>
          <cell r="AL92">
            <v>455329.78</v>
          </cell>
          <cell r="AM92">
            <v>234998.56</v>
          </cell>
          <cell r="AQ92">
            <v>132600.6</v>
          </cell>
          <cell r="AT92">
            <v>10244.92</v>
          </cell>
          <cell r="AV92">
            <v>3583.8</v>
          </cell>
          <cell r="AW92">
            <v>13600</v>
          </cell>
          <cell r="AX92">
            <v>6800</v>
          </cell>
          <cell r="BA92">
            <v>20400</v>
          </cell>
          <cell r="BB92">
            <v>10200</v>
          </cell>
          <cell r="BC92">
            <v>13600</v>
          </cell>
          <cell r="BD92">
            <v>143413.01</v>
          </cell>
          <cell r="BE92">
            <v>2310.0300000000002</v>
          </cell>
          <cell r="CB92">
            <v>603563.4</v>
          </cell>
          <cell r="CC92">
            <v>142157.4</v>
          </cell>
          <cell r="CF92">
            <v>256265.06</v>
          </cell>
        </row>
        <row r="93">
          <cell r="B93">
            <v>409</v>
          </cell>
          <cell r="C93">
            <v>2</v>
          </cell>
          <cell r="D93" t="str">
            <v>EC</v>
          </cell>
          <cell r="E93">
            <v>516</v>
          </cell>
          <cell r="F93">
            <v>-84</v>
          </cell>
          <cell r="G93">
            <v>447</v>
          </cell>
          <cell r="H93">
            <v>132</v>
          </cell>
          <cell r="I93">
            <v>0.2558139534883721</v>
          </cell>
          <cell r="J93">
            <v>83.995312499999997</v>
          </cell>
          <cell r="K93">
            <v>99.994419642857139</v>
          </cell>
          <cell r="L93">
            <v>198942.26</v>
          </cell>
          <cell r="M93">
            <v>113832.45</v>
          </cell>
          <cell r="O93">
            <v>71961.03</v>
          </cell>
          <cell r="P93">
            <v>7843.55</v>
          </cell>
          <cell r="Q93">
            <v>79024.509999999995</v>
          </cell>
          <cell r="R93">
            <v>60058.83</v>
          </cell>
          <cell r="S93">
            <v>204749.06</v>
          </cell>
          <cell r="T93">
            <v>113832.45</v>
          </cell>
          <cell r="U93">
            <v>227664.89</v>
          </cell>
          <cell r="V93">
            <v>113832.45</v>
          </cell>
          <cell r="W93">
            <v>227664.89</v>
          </cell>
          <cell r="X93">
            <v>195832.13</v>
          </cell>
          <cell r="Y93">
            <v>123641.1</v>
          </cell>
          <cell r="AB93">
            <v>667482.75</v>
          </cell>
          <cell r="AG93">
            <v>2669931</v>
          </cell>
          <cell r="AH93">
            <v>170280</v>
          </cell>
          <cell r="AI93">
            <v>113832.45</v>
          </cell>
          <cell r="AJ93">
            <v>227664.89</v>
          </cell>
          <cell r="AK93">
            <v>569162.23</v>
          </cell>
          <cell r="AL93">
            <v>569162.23</v>
          </cell>
          <cell r="AM93">
            <v>313331.40999999997</v>
          </cell>
          <cell r="AP93">
            <v>119483.41</v>
          </cell>
          <cell r="AQ93">
            <v>150519.6</v>
          </cell>
          <cell r="AS93">
            <v>569162.23</v>
          </cell>
          <cell r="AV93">
            <v>179190</v>
          </cell>
          <cell r="BF93">
            <v>12900</v>
          </cell>
          <cell r="BV93">
            <v>15325</v>
          </cell>
          <cell r="CB93">
            <v>354090.53</v>
          </cell>
          <cell r="CD93">
            <v>96551.15</v>
          </cell>
          <cell r="CE93">
            <v>185313.84</v>
          </cell>
        </row>
        <row r="94">
          <cell r="B94">
            <v>466</v>
          </cell>
          <cell r="C94">
            <v>2</v>
          </cell>
          <cell r="D94" t="str">
            <v>HS</v>
          </cell>
          <cell r="E94">
            <v>600</v>
          </cell>
          <cell r="F94">
            <v>0</v>
          </cell>
          <cell r="G94">
            <v>600</v>
          </cell>
          <cell r="H94">
            <v>101</v>
          </cell>
          <cell r="I94">
            <v>0.16833333333333333</v>
          </cell>
          <cell r="J94">
            <v>6.9996093749999995</v>
          </cell>
          <cell r="K94">
            <v>1.9998883928571429</v>
          </cell>
          <cell r="L94">
            <v>198942.26</v>
          </cell>
          <cell r="N94">
            <v>321062.33</v>
          </cell>
          <cell r="O94">
            <v>71961.03</v>
          </cell>
          <cell r="P94">
            <v>5977.49</v>
          </cell>
          <cell r="Q94">
            <v>79024.509999999995</v>
          </cell>
          <cell r="R94">
            <v>60058.83</v>
          </cell>
          <cell r="S94">
            <v>153561.79</v>
          </cell>
          <cell r="T94">
            <v>113832.45</v>
          </cell>
          <cell r="AG94">
            <v>3583800</v>
          </cell>
          <cell r="AH94">
            <v>355800</v>
          </cell>
          <cell r="AI94">
            <v>113832.45</v>
          </cell>
          <cell r="AJ94">
            <v>227664.89</v>
          </cell>
          <cell r="AK94">
            <v>113832.45</v>
          </cell>
          <cell r="AQ94">
            <v>12543.3</v>
          </cell>
          <cell r="AT94">
            <v>10244.92</v>
          </cell>
          <cell r="AV94">
            <v>3583.8</v>
          </cell>
          <cell r="BF94">
            <v>15000</v>
          </cell>
          <cell r="BW94">
            <v>519436</v>
          </cell>
          <cell r="CB94">
            <v>291051.68</v>
          </cell>
          <cell r="CE94">
            <v>297984.01</v>
          </cell>
        </row>
        <row r="95">
          <cell r="B95">
            <v>943</v>
          </cell>
          <cell r="C95">
            <v>6</v>
          </cell>
          <cell r="D95" t="str">
            <v>ES</v>
          </cell>
          <cell r="E95">
            <v>318</v>
          </cell>
          <cell r="F95">
            <v>7</v>
          </cell>
          <cell r="G95">
            <v>248</v>
          </cell>
          <cell r="H95">
            <v>30</v>
          </cell>
          <cell r="I95">
            <v>9.4339622641509441E-2</v>
          </cell>
          <cell r="J95">
            <v>72.995926339285717</v>
          </cell>
          <cell r="K95">
            <v>3.9997767857142859</v>
          </cell>
          <cell r="L95">
            <v>198942.26</v>
          </cell>
          <cell r="O95">
            <v>71961.03</v>
          </cell>
          <cell r="P95">
            <v>5416</v>
          </cell>
          <cell r="Q95">
            <v>79024.509999999995</v>
          </cell>
          <cell r="R95">
            <v>60058.83</v>
          </cell>
          <cell r="S95">
            <v>102374.53</v>
          </cell>
          <cell r="T95">
            <v>113832.45</v>
          </cell>
          <cell r="U95">
            <v>227664.89</v>
          </cell>
          <cell r="W95">
            <v>227664.89</v>
          </cell>
          <cell r="X95">
            <v>156665.71</v>
          </cell>
          <cell r="Y95">
            <v>125433</v>
          </cell>
          <cell r="AG95">
            <v>1481304</v>
          </cell>
          <cell r="AH95">
            <v>103350</v>
          </cell>
          <cell r="AI95">
            <v>113832.45</v>
          </cell>
          <cell r="AJ95">
            <v>170748.67</v>
          </cell>
          <cell r="AK95">
            <v>341497.34</v>
          </cell>
          <cell r="AL95">
            <v>569162.23</v>
          </cell>
          <cell r="AM95">
            <v>391664.27</v>
          </cell>
          <cell r="AQ95">
            <v>130808.7</v>
          </cell>
          <cell r="AT95">
            <v>20489.84</v>
          </cell>
          <cell r="AV95">
            <v>7167.6</v>
          </cell>
          <cell r="BF95">
            <v>7950</v>
          </cell>
          <cell r="CB95">
            <v>80475.12</v>
          </cell>
          <cell r="CD95">
            <v>265849.77</v>
          </cell>
          <cell r="CE95">
            <v>125004.86</v>
          </cell>
          <cell r="CF95">
            <v>16402.310000000001</v>
          </cell>
          <cell r="CG95">
            <v>247255.08</v>
          </cell>
        </row>
        <row r="96">
          <cell r="B96">
            <v>309</v>
          </cell>
          <cell r="C96">
            <v>6</v>
          </cell>
          <cell r="D96" t="str">
            <v>ES</v>
          </cell>
          <cell r="E96">
            <v>345</v>
          </cell>
          <cell r="F96">
            <v>-19</v>
          </cell>
          <cell r="G96">
            <v>250</v>
          </cell>
          <cell r="H96">
            <v>133</v>
          </cell>
          <cell r="I96">
            <v>0.38550724637681161</v>
          </cell>
          <cell r="J96">
            <v>71.995982142857144</v>
          </cell>
          <cell r="K96">
            <v>121.99319196428571</v>
          </cell>
          <cell r="L96">
            <v>198942.26</v>
          </cell>
          <cell r="O96">
            <v>71961.03</v>
          </cell>
          <cell r="P96">
            <v>5688.15</v>
          </cell>
          <cell r="Q96">
            <v>79024.509999999995</v>
          </cell>
          <cell r="R96">
            <v>60058.83</v>
          </cell>
          <cell r="S96">
            <v>102374.53</v>
          </cell>
          <cell r="T96">
            <v>113832.45</v>
          </cell>
          <cell r="U96">
            <v>341497.34</v>
          </cell>
          <cell r="W96">
            <v>341497.34</v>
          </cell>
          <cell r="X96">
            <v>234998.56</v>
          </cell>
          <cell r="Y96">
            <v>170230.5</v>
          </cell>
          <cell r="AG96">
            <v>1493250</v>
          </cell>
          <cell r="AH96">
            <v>112125</v>
          </cell>
          <cell r="AI96">
            <v>113832.45</v>
          </cell>
          <cell r="AJ96">
            <v>227664.89</v>
          </cell>
          <cell r="AK96">
            <v>341497.34</v>
          </cell>
          <cell r="AL96">
            <v>455329.78</v>
          </cell>
          <cell r="AM96">
            <v>313331.40999999997</v>
          </cell>
          <cell r="AP96">
            <v>119483.41</v>
          </cell>
          <cell r="AQ96">
            <v>129016.8</v>
          </cell>
          <cell r="AS96">
            <v>682994.68</v>
          </cell>
          <cell r="AU96">
            <v>39166.43</v>
          </cell>
          <cell r="AV96">
            <v>218611.8</v>
          </cell>
          <cell r="AW96">
            <v>27200</v>
          </cell>
          <cell r="AX96">
            <v>20400</v>
          </cell>
          <cell r="AY96">
            <v>10200</v>
          </cell>
          <cell r="BA96">
            <v>27200</v>
          </cell>
          <cell r="BC96">
            <v>20400</v>
          </cell>
          <cell r="BD96">
            <v>93516.11</v>
          </cell>
          <cell r="BE96">
            <v>1506.31</v>
          </cell>
          <cell r="BV96">
            <v>15325</v>
          </cell>
          <cell r="CB96">
            <v>356773.03</v>
          </cell>
          <cell r="CD96">
            <v>331685.31</v>
          </cell>
          <cell r="CE96">
            <v>180636.32</v>
          </cell>
        </row>
        <row r="97">
          <cell r="B97">
            <v>313</v>
          </cell>
          <cell r="C97">
            <v>4</v>
          </cell>
          <cell r="D97" t="str">
            <v>ES</v>
          </cell>
          <cell r="E97">
            <v>359</v>
          </cell>
          <cell r="F97">
            <v>-7</v>
          </cell>
          <cell r="G97">
            <v>289</v>
          </cell>
          <cell r="H97">
            <v>35</v>
          </cell>
          <cell r="I97">
            <v>9.7493036211699163E-2</v>
          </cell>
          <cell r="J97">
            <v>23.998660714285712</v>
          </cell>
          <cell r="K97">
            <v>21.998772321428572</v>
          </cell>
          <cell r="L97">
            <v>198942.26</v>
          </cell>
          <cell r="O97">
            <v>71961.03</v>
          </cell>
          <cell r="P97">
            <v>5951.05</v>
          </cell>
          <cell r="Q97">
            <v>79024.509999999995</v>
          </cell>
          <cell r="R97">
            <v>60058.83</v>
          </cell>
          <cell r="S97">
            <v>102374.53</v>
          </cell>
          <cell r="T97">
            <v>113832.45</v>
          </cell>
          <cell r="U97">
            <v>227664.89</v>
          </cell>
          <cell r="W97">
            <v>227664.89</v>
          </cell>
          <cell r="X97">
            <v>156665.71</v>
          </cell>
          <cell r="Y97">
            <v>125433</v>
          </cell>
          <cell r="AG97">
            <v>1726197</v>
          </cell>
          <cell r="AH97">
            <v>116675</v>
          </cell>
          <cell r="AI97">
            <v>113832.45</v>
          </cell>
          <cell r="AJ97">
            <v>113832.45</v>
          </cell>
          <cell r="AK97">
            <v>227664.89</v>
          </cell>
          <cell r="AL97">
            <v>341497.34</v>
          </cell>
          <cell r="AM97">
            <v>234998.56</v>
          </cell>
          <cell r="AQ97">
            <v>43005.599999999999</v>
          </cell>
          <cell r="AS97">
            <v>113832.45</v>
          </cell>
          <cell r="AV97">
            <v>39421.800000000003</v>
          </cell>
          <cell r="BF97">
            <v>8975</v>
          </cell>
          <cell r="BL97">
            <v>119483.41</v>
          </cell>
          <cell r="BM97">
            <v>21207</v>
          </cell>
          <cell r="CB97">
            <v>93887.64</v>
          </cell>
          <cell r="CE97">
            <v>55415.31</v>
          </cell>
          <cell r="CF97">
            <v>54723.11</v>
          </cell>
        </row>
        <row r="98">
          <cell r="B98">
            <v>315</v>
          </cell>
          <cell r="C98">
            <v>8</v>
          </cell>
          <cell r="D98" t="str">
            <v>ES</v>
          </cell>
          <cell r="E98">
            <v>229</v>
          </cell>
          <cell r="F98">
            <v>-7</v>
          </cell>
          <cell r="G98">
            <v>184</v>
          </cell>
          <cell r="H98">
            <v>168</v>
          </cell>
          <cell r="I98">
            <v>0.73362445414847166</v>
          </cell>
          <cell r="J98">
            <v>52.997042410714286</v>
          </cell>
          <cell r="K98">
            <v>16.999051339285714</v>
          </cell>
          <cell r="L98">
            <v>198942.26</v>
          </cell>
          <cell r="O98">
            <v>71961.03</v>
          </cell>
          <cell r="P98">
            <v>5764.45</v>
          </cell>
          <cell r="Q98">
            <v>79024.509999999995</v>
          </cell>
          <cell r="R98">
            <v>60058.83</v>
          </cell>
          <cell r="S98">
            <v>51187.26</v>
          </cell>
          <cell r="T98">
            <v>113832.45</v>
          </cell>
          <cell r="U98">
            <v>113832.45</v>
          </cell>
          <cell r="V98">
            <v>113832.45</v>
          </cell>
          <cell r="W98">
            <v>113832.45</v>
          </cell>
          <cell r="X98">
            <v>117499.28</v>
          </cell>
          <cell r="Y98">
            <v>80635.5</v>
          </cell>
          <cell r="AG98">
            <v>1099032</v>
          </cell>
          <cell r="AH98">
            <v>74425</v>
          </cell>
          <cell r="AI98">
            <v>113832.45</v>
          </cell>
          <cell r="AJ98">
            <v>113832.45</v>
          </cell>
          <cell r="AK98">
            <v>341497.34</v>
          </cell>
          <cell r="AL98">
            <v>341497.34</v>
          </cell>
          <cell r="AM98">
            <v>234998.56</v>
          </cell>
          <cell r="AQ98">
            <v>94970.7</v>
          </cell>
          <cell r="AS98">
            <v>113832.45</v>
          </cell>
          <cell r="AV98">
            <v>30462.3</v>
          </cell>
          <cell r="BD98">
            <v>123930.49</v>
          </cell>
          <cell r="BE98">
            <v>1996.21</v>
          </cell>
          <cell r="BV98">
            <v>15325</v>
          </cell>
          <cell r="CB98">
            <v>450660.67</v>
          </cell>
          <cell r="CC98">
            <v>91267.44</v>
          </cell>
          <cell r="CF98">
            <v>364747.67</v>
          </cell>
        </row>
        <row r="99">
          <cell r="B99">
            <v>322</v>
          </cell>
          <cell r="C99">
            <v>7</v>
          </cell>
          <cell r="D99" t="str">
            <v>ES</v>
          </cell>
          <cell r="E99">
            <v>210</v>
          </cell>
          <cell r="F99">
            <v>-24</v>
          </cell>
          <cell r="G99">
            <v>157</v>
          </cell>
          <cell r="H99">
            <v>157</v>
          </cell>
          <cell r="I99">
            <v>0.74761904761904763</v>
          </cell>
          <cell r="J99">
            <v>57.99676339285714</v>
          </cell>
          <cell r="K99">
            <v>16.999051339285714</v>
          </cell>
          <cell r="L99">
            <v>198942.26</v>
          </cell>
          <cell r="O99">
            <v>71961.03</v>
          </cell>
          <cell r="P99">
            <v>4493.3</v>
          </cell>
          <cell r="Q99">
            <v>79024.509999999995</v>
          </cell>
          <cell r="R99">
            <v>60058.83</v>
          </cell>
          <cell r="S99">
            <v>51187.26</v>
          </cell>
          <cell r="T99">
            <v>113832.45</v>
          </cell>
          <cell r="U99">
            <v>227664.89</v>
          </cell>
          <cell r="W99">
            <v>227664.89</v>
          </cell>
          <cell r="X99">
            <v>156665.71</v>
          </cell>
          <cell r="Y99">
            <v>94970.7</v>
          </cell>
          <cell r="AG99">
            <v>937761</v>
          </cell>
          <cell r="AH99">
            <v>68250</v>
          </cell>
          <cell r="AI99">
            <v>113832.45</v>
          </cell>
          <cell r="AJ99">
            <v>113832.45</v>
          </cell>
          <cell r="AK99">
            <v>341497.34</v>
          </cell>
          <cell r="AL99">
            <v>455329.78</v>
          </cell>
          <cell r="AM99">
            <v>234998.56</v>
          </cell>
          <cell r="AQ99">
            <v>103930.2</v>
          </cell>
          <cell r="AS99">
            <v>113832.45</v>
          </cell>
          <cell r="AV99">
            <v>30462.3</v>
          </cell>
          <cell r="AW99">
            <v>13600</v>
          </cell>
          <cell r="AX99">
            <v>6800</v>
          </cell>
          <cell r="BA99">
            <v>20400</v>
          </cell>
          <cell r="BB99">
            <v>10200</v>
          </cell>
          <cell r="BC99">
            <v>13600</v>
          </cell>
          <cell r="BD99">
            <v>113648.05</v>
          </cell>
          <cell r="BE99">
            <v>1830.59</v>
          </cell>
          <cell r="CB99">
            <v>421153.13</v>
          </cell>
          <cell r="CC99">
            <v>87205.8</v>
          </cell>
          <cell r="CD99">
            <v>172260.28</v>
          </cell>
          <cell r="CE99">
            <v>80363.899999999994</v>
          </cell>
          <cell r="CF99">
            <v>165288.28</v>
          </cell>
        </row>
        <row r="100">
          <cell r="B100">
            <v>427</v>
          </cell>
          <cell r="C100">
            <v>7</v>
          </cell>
          <cell r="D100" t="str">
            <v>MS</v>
          </cell>
          <cell r="E100">
            <v>224</v>
          </cell>
          <cell r="F100">
            <v>-52</v>
          </cell>
          <cell r="G100">
            <v>224</v>
          </cell>
          <cell r="H100">
            <v>168</v>
          </cell>
          <cell r="I100">
            <v>0.75</v>
          </cell>
          <cell r="J100">
            <v>67.996205357142856</v>
          </cell>
          <cell r="K100">
            <v>10.999386160714286</v>
          </cell>
          <cell r="L100">
            <v>198942.26</v>
          </cell>
          <cell r="M100">
            <v>113832.45</v>
          </cell>
          <cell r="O100">
            <v>71961.03</v>
          </cell>
          <cell r="P100">
            <v>10456</v>
          </cell>
          <cell r="Q100">
            <v>79024.509999999995</v>
          </cell>
          <cell r="R100">
            <v>60058.83</v>
          </cell>
          <cell r="S100">
            <v>153561.79</v>
          </cell>
          <cell r="T100">
            <v>113832.45</v>
          </cell>
          <cell r="AG100">
            <v>1337952</v>
          </cell>
          <cell r="AH100">
            <v>76608</v>
          </cell>
          <cell r="AI100">
            <v>113832.45</v>
          </cell>
          <cell r="AJ100">
            <v>170748.67</v>
          </cell>
          <cell r="AK100">
            <v>682994.68</v>
          </cell>
          <cell r="AL100">
            <v>455329.78</v>
          </cell>
          <cell r="AM100">
            <v>234998.56</v>
          </cell>
          <cell r="AQ100">
            <v>121849.2</v>
          </cell>
          <cell r="AS100">
            <v>113832.45</v>
          </cell>
          <cell r="AV100">
            <v>19710.900000000001</v>
          </cell>
          <cell r="BD100">
            <v>121224.58</v>
          </cell>
          <cell r="BE100">
            <v>1952.63</v>
          </cell>
          <cell r="BX100">
            <v>55921</v>
          </cell>
          <cell r="CB100">
            <v>450660.67</v>
          </cell>
          <cell r="CC100">
            <v>107036.16</v>
          </cell>
          <cell r="CD100">
            <v>264665.40000000002</v>
          </cell>
          <cell r="CE100">
            <v>226363.95</v>
          </cell>
          <cell r="CG100">
            <v>162321.64000000001</v>
          </cell>
        </row>
        <row r="101">
          <cell r="B101">
            <v>319</v>
          </cell>
          <cell r="C101">
            <v>8</v>
          </cell>
          <cell r="D101" t="str">
            <v>ES</v>
          </cell>
          <cell r="E101">
            <v>317</v>
          </cell>
          <cell r="F101">
            <v>-73</v>
          </cell>
          <cell r="G101">
            <v>250</v>
          </cell>
          <cell r="H101">
            <v>288</v>
          </cell>
          <cell r="I101">
            <v>0.90851735015772872</v>
          </cell>
          <cell r="J101">
            <v>79.995535714285708</v>
          </cell>
          <cell r="K101">
            <v>1.9998883928571429</v>
          </cell>
          <cell r="L101">
            <v>198942.26</v>
          </cell>
          <cell r="O101">
            <v>71961.03</v>
          </cell>
          <cell r="P101">
            <v>6646</v>
          </cell>
          <cell r="Q101">
            <v>79024.509999999995</v>
          </cell>
          <cell r="R101">
            <v>60058.83</v>
          </cell>
          <cell r="S101">
            <v>102374.53</v>
          </cell>
          <cell r="T101">
            <v>113832.45</v>
          </cell>
          <cell r="U101">
            <v>227664.89</v>
          </cell>
          <cell r="W101">
            <v>341497.34</v>
          </cell>
          <cell r="X101">
            <v>195832.13</v>
          </cell>
          <cell r="Y101">
            <v>120057.3</v>
          </cell>
          <cell r="AG101">
            <v>1493250</v>
          </cell>
          <cell r="AH101">
            <v>103025</v>
          </cell>
          <cell r="AI101">
            <v>113832.45</v>
          </cell>
          <cell r="AJ101">
            <v>227664.89</v>
          </cell>
          <cell r="AK101">
            <v>341497.34</v>
          </cell>
          <cell r="AL101">
            <v>455329.78</v>
          </cell>
          <cell r="AM101">
            <v>234998.56</v>
          </cell>
          <cell r="AQ101">
            <v>143352</v>
          </cell>
          <cell r="AT101">
            <v>10244.92</v>
          </cell>
          <cell r="AV101">
            <v>3583.8</v>
          </cell>
          <cell r="AW101">
            <v>13600</v>
          </cell>
          <cell r="AX101">
            <v>20400</v>
          </cell>
          <cell r="BA101">
            <v>27200</v>
          </cell>
          <cell r="BB101">
            <v>10200</v>
          </cell>
          <cell r="BC101">
            <v>34000</v>
          </cell>
          <cell r="BD101">
            <v>171554.43</v>
          </cell>
          <cell r="BE101">
            <v>2763.32</v>
          </cell>
          <cell r="BG101">
            <v>113832.45</v>
          </cell>
          <cell r="CB101">
            <v>772561.15</v>
          </cell>
          <cell r="CC101">
            <v>192569.52</v>
          </cell>
          <cell r="CD101">
            <v>322579.62</v>
          </cell>
          <cell r="CE101">
            <v>170624.55</v>
          </cell>
          <cell r="CG101">
            <v>125661.98</v>
          </cell>
        </row>
        <row r="102">
          <cell r="B102">
            <v>1142</v>
          </cell>
          <cell r="C102">
            <v>2</v>
          </cell>
          <cell r="D102" t="str">
            <v>ECE</v>
          </cell>
          <cell r="E102">
            <v>75</v>
          </cell>
          <cell r="F102">
            <v>-7</v>
          </cell>
          <cell r="G102">
            <v>0</v>
          </cell>
          <cell r="H102">
            <v>16</v>
          </cell>
          <cell r="I102">
            <v>0.21333333333333335</v>
          </cell>
          <cell r="J102">
            <v>12.999274553571428</v>
          </cell>
          <cell r="K102">
            <v>3.9997767857142859</v>
          </cell>
          <cell r="L102">
            <v>99471.13</v>
          </cell>
          <cell r="O102">
            <v>71961.03</v>
          </cell>
          <cell r="P102">
            <v>4384.6499999999996</v>
          </cell>
          <cell r="Q102">
            <v>79024.509999999995</v>
          </cell>
          <cell r="R102">
            <v>60058.83</v>
          </cell>
          <cell r="S102">
            <v>51187.26</v>
          </cell>
          <cell r="T102">
            <v>113832.45</v>
          </cell>
          <cell r="U102">
            <v>341497.34</v>
          </cell>
          <cell r="W102">
            <v>227664.89</v>
          </cell>
          <cell r="X102">
            <v>195832.13</v>
          </cell>
          <cell r="Y102">
            <v>134392.5</v>
          </cell>
          <cell r="Z102">
            <v>380778.75</v>
          </cell>
          <cell r="AH102">
            <v>24375</v>
          </cell>
          <cell r="AI102">
            <v>113832.45</v>
          </cell>
          <cell r="AJ102">
            <v>113832.45</v>
          </cell>
          <cell r="AK102">
            <v>227664.89</v>
          </cell>
          <cell r="AL102">
            <v>341497.34</v>
          </cell>
          <cell r="AM102">
            <v>234998.56</v>
          </cell>
          <cell r="AQ102">
            <v>23294.7</v>
          </cell>
          <cell r="AT102">
            <v>20489.84</v>
          </cell>
          <cell r="AV102">
            <v>7167.6</v>
          </cell>
          <cell r="BF102">
            <v>1875</v>
          </cell>
          <cell r="CB102">
            <v>42920.06</v>
          </cell>
          <cell r="CF102">
            <v>121884.98</v>
          </cell>
        </row>
        <row r="103">
          <cell r="B103">
            <v>321</v>
          </cell>
          <cell r="C103">
            <v>3</v>
          </cell>
          <cell r="D103" t="str">
            <v>ES</v>
          </cell>
          <cell r="E103">
            <v>457</v>
          </cell>
          <cell r="F103">
            <v>4</v>
          </cell>
          <cell r="G103">
            <v>438</v>
          </cell>
          <cell r="H103">
            <v>34</v>
          </cell>
          <cell r="I103">
            <v>7.4398249452954049E-2</v>
          </cell>
          <cell r="J103">
            <v>22.99871651785714</v>
          </cell>
          <cell r="K103">
            <v>83.995312499999997</v>
          </cell>
          <cell r="L103">
            <v>198942.26</v>
          </cell>
          <cell r="O103">
            <v>71961.03</v>
          </cell>
          <cell r="P103">
            <v>6787.25</v>
          </cell>
          <cell r="Q103">
            <v>79024.509999999995</v>
          </cell>
          <cell r="R103">
            <v>60058.83</v>
          </cell>
          <cell r="S103">
            <v>102374.53</v>
          </cell>
          <cell r="T103">
            <v>113832.45</v>
          </cell>
          <cell r="W103">
            <v>113832.45</v>
          </cell>
          <cell r="X103">
            <v>39166.43</v>
          </cell>
          <cell r="Y103">
            <v>34046.1</v>
          </cell>
          <cell r="AG103">
            <v>2616174</v>
          </cell>
          <cell r="AH103">
            <v>148525</v>
          </cell>
          <cell r="AI103">
            <v>113832.45</v>
          </cell>
          <cell r="AJ103">
            <v>113832.45</v>
          </cell>
          <cell r="AK103">
            <v>341497.34</v>
          </cell>
          <cell r="AQ103">
            <v>41213.699999999997</v>
          </cell>
          <cell r="AS103">
            <v>455329.78</v>
          </cell>
          <cell r="AV103">
            <v>150519.6</v>
          </cell>
          <cell r="BF103">
            <v>11425</v>
          </cell>
          <cell r="CB103">
            <v>91205.14</v>
          </cell>
          <cell r="CD103">
            <v>292820.32</v>
          </cell>
          <cell r="CE103">
            <v>108405.24</v>
          </cell>
          <cell r="CF103">
            <v>272962.71999999997</v>
          </cell>
          <cell r="CG103">
            <v>387043.16</v>
          </cell>
        </row>
        <row r="104">
          <cell r="B104">
            <v>428</v>
          </cell>
          <cell r="C104">
            <v>6</v>
          </cell>
          <cell r="D104" t="str">
            <v>MS</v>
          </cell>
          <cell r="E104">
            <v>507</v>
          </cell>
          <cell r="F104">
            <v>0</v>
          </cell>
          <cell r="G104">
            <v>507</v>
          </cell>
          <cell r="H104">
            <v>175</v>
          </cell>
          <cell r="I104">
            <v>0.34516765285996054</v>
          </cell>
          <cell r="J104">
            <v>81.995424107142853</v>
          </cell>
          <cell r="K104">
            <v>4.9997209821428568</v>
          </cell>
          <cell r="L104">
            <v>198942.26</v>
          </cell>
          <cell r="M104">
            <v>170748.67</v>
          </cell>
          <cell r="O104">
            <v>71961.03</v>
          </cell>
          <cell r="P104">
            <v>8905.7999999999993</v>
          </cell>
          <cell r="Q104">
            <v>79024.509999999995</v>
          </cell>
          <cell r="R104">
            <v>60058.83</v>
          </cell>
          <cell r="S104">
            <v>204749.06</v>
          </cell>
          <cell r="T104">
            <v>113832.45</v>
          </cell>
          <cell r="AG104">
            <v>3028311</v>
          </cell>
          <cell r="AH104">
            <v>173394</v>
          </cell>
          <cell r="AI104">
            <v>113832.45</v>
          </cell>
          <cell r="AJ104">
            <v>227664.89</v>
          </cell>
          <cell r="AK104">
            <v>796827.12</v>
          </cell>
          <cell r="AL104">
            <v>227664.89</v>
          </cell>
          <cell r="AM104">
            <v>117499.28</v>
          </cell>
          <cell r="AQ104">
            <v>146935.79999999999</v>
          </cell>
          <cell r="AT104">
            <v>26181.46</v>
          </cell>
          <cell r="AV104">
            <v>8959.5</v>
          </cell>
          <cell r="BD104">
            <v>141140.04999999999</v>
          </cell>
          <cell r="BE104">
            <v>2273.42</v>
          </cell>
          <cell r="BX104">
            <v>55921</v>
          </cell>
          <cell r="CB104">
            <v>469438.2</v>
          </cell>
          <cell r="CD104">
            <v>146665.41</v>
          </cell>
          <cell r="CE104">
            <v>17408.14</v>
          </cell>
        </row>
        <row r="105">
          <cell r="B105">
            <v>324</v>
          </cell>
          <cell r="C105">
            <v>4</v>
          </cell>
          <cell r="D105" t="str">
            <v>ES</v>
          </cell>
          <cell r="E105">
            <v>413</v>
          </cell>
          <cell r="F105">
            <v>-10</v>
          </cell>
          <cell r="G105">
            <v>316</v>
          </cell>
          <cell r="H105">
            <v>171</v>
          </cell>
          <cell r="I105">
            <v>0.41404358353510895</v>
          </cell>
          <cell r="J105">
            <v>73.995870535714289</v>
          </cell>
          <cell r="K105">
            <v>162.99090401785716</v>
          </cell>
          <cell r="L105">
            <v>198942.26</v>
          </cell>
          <cell r="O105">
            <v>71961.03</v>
          </cell>
          <cell r="P105">
            <v>8480.75</v>
          </cell>
          <cell r="Q105">
            <v>79024.509999999995</v>
          </cell>
          <cell r="R105">
            <v>60058.83</v>
          </cell>
          <cell r="S105">
            <v>153561.79</v>
          </cell>
          <cell r="T105">
            <v>113832.45</v>
          </cell>
          <cell r="U105">
            <v>227664.89</v>
          </cell>
          <cell r="V105">
            <v>227664.89</v>
          </cell>
          <cell r="W105">
            <v>227664.89</v>
          </cell>
          <cell r="X105">
            <v>234998.56</v>
          </cell>
          <cell r="Y105">
            <v>173814.3</v>
          </cell>
          <cell r="AG105">
            <v>1887468</v>
          </cell>
          <cell r="AH105">
            <v>134225</v>
          </cell>
          <cell r="AI105">
            <v>113832.45</v>
          </cell>
          <cell r="AJ105">
            <v>227664.89</v>
          </cell>
          <cell r="AK105">
            <v>341497.34</v>
          </cell>
          <cell r="AL105">
            <v>455329.78</v>
          </cell>
          <cell r="AM105">
            <v>313331.40999999997</v>
          </cell>
          <cell r="AP105">
            <v>119483.41</v>
          </cell>
          <cell r="AQ105">
            <v>132600.6</v>
          </cell>
          <cell r="AS105">
            <v>853743.35</v>
          </cell>
          <cell r="AU105">
            <v>39166.43</v>
          </cell>
          <cell r="AV105">
            <v>292079.7</v>
          </cell>
          <cell r="AW105">
            <v>20400</v>
          </cell>
          <cell r="AX105">
            <v>20400</v>
          </cell>
          <cell r="AY105">
            <v>10200</v>
          </cell>
          <cell r="BA105">
            <v>54400</v>
          </cell>
          <cell r="BC105">
            <v>54400</v>
          </cell>
          <cell r="BD105">
            <v>129883.48</v>
          </cell>
          <cell r="BE105">
            <v>2092.1</v>
          </cell>
          <cell r="CB105">
            <v>458708.18</v>
          </cell>
          <cell r="CC105">
            <v>6928.68</v>
          </cell>
          <cell r="CD105">
            <v>419652.32</v>
          </cell>
          <cell r="CF105">
            <v>52862.61</v>
          </cell>
          <cell r="CG105">
            <v>475027.59</v>
          </cell>
        </row>
        <row r="106">
          <cell r="B106">
            <v>325</v>
          </cell>
          <cell r="C106">
            <v>7</v>
          </cell>
          <cell r="D106" t="str">
            <v>ES</v>
          </cell>
          <cell r="E106">
            <v>287</v>
          </cell>
          <cell r="F106">
            <v>-31</v>
          </cell>
          <cell r="G106">
            <v>208</v>
          </cell>
          <cell r="H106">
            <v>231</v>
          </cell>
          <cell r="I106">
            <v>0.80487804878048785</v>
          </cell>
          <cell r="J106">
            <v>50.997154017857142</v>
          </cell>
          <cell r="K106">
            <v>1.9998883928571429</v>
          </cell>
          <cell r="L106">
            <v>198942.26</v>
          </cell>
          <cell r="O106">
            <v>71961.03</v>
          </cell>
          <cell r="P106">
            <v>6530.65</v>
          </cell>
          <cell r="Q106">
            <v>79024.509999999995</v>
          </cell>
          <cell r="R106">
            <v>60058.83</v>
          </cell>
          <cell r="S106">
            <v>51187.26</v>
          </cell>
          <cell r="T106">
            <v>113832.45</v>
          </cell>
          <cell r="U106">
            <v>227664.89</v>
          </cell>
          <cell r="V106">
            <v>227664.89</v>
          </cell>
          <cell r="W106">
            <v>113832.45</v>
          </cell>
          <cell r="X106">
            <v>195832.13</v>
          </cell>
          <cell r="Y106">
            <v>141560.1</v>
          </cell>
          <cell r="AG106">
            <v>1242384</v>
          </cell>
          <cell r="AH106">
            <v>93275</v>
          </cell>
          <cell r="AI106">
            <v>113832.45</v>
          </cell>
          <cell r="AJ106">
            <v>113832.45</v>
          </cell>
          <cell r="AK106">
            <v>341497.34</v>
          </cell>
          <cell r="AL106">
            <v>341497.34</v>
          </cell>
          <cell r="AM106">
            <v>195832.13</v>
          </cell>
          <cell r="AQ106">
            <v>91386.9</v>
          </cell>
          <cell r="AT106">
            <v>10244.92</v>
          </cell>
          <cell r="AV106">
            <v>3583.8</v>
          </cell>
          <cell r="AW106">
            <v>20400</v>
          </cell>
          <cell r="AX106">
            <v>20400</v>
          </cell>
          <cell r="BA106">
            <v>13600</v>
          </cell>
          <cell r="BB106">
            <v>10200</v>
          </cell>
          <cell r="BC106">
            <v>13600</v>
          </cell>
          <cell r="BD106">
            <v>155319</v>
          </cell>
          <cell r="BE106">
            <v>2501.81</v>
          </cell>
          <cell r="BG106">
            <v>113832.45</v>
          </cell>
          <cell r="BV106">
            <v>15325</v>
          </cell>
          <cell r="CB106">
            <v>619658.42000000004</v>
          </cell>
          <cell r="CC106">
            <v>138812.51999999999</v>
          </cell>
          <cell r="CD106">
            <v>47258.97</v>
          </cell>
          <cell r="CE106">
            <v>24216.240000000002</v>
          </cell>
          <cell r="CF106">
            <v>143388.29</v>
          </cell>
        </row>
        <row r="107">
          <cell r="B107">
            <v>326</v>
          </cell>
          <cell r="C107">
            <v>2</v>
          </cell>
          <cell r="D107" t="str">
            <v>ES</v>
          </cell>
          <cell r="E107">
            <v>281</v>
          </cell>
          <cell r="F107">
            <v>-19</v>
          </cell>
          <cell r="G107">
            <v>204</v>
          </cell>
          <cell r="H107">
            <v>116</v>
          </cell>
          <cell r="I107">
            <v>0.41281138790035588</v>
          </cell>
          <cell r="J107">
            <v>30.998270089285715</v>
          </cell>
          <cell r="K107">
            <v>129.99274553571428</v>
          </cell>
          <cell r="L107">
            <v>198942.26</v>
          </cell>
          <cell r="O107">
            <v>71961.03</v>
          </cell>
          <cell r="P107">
            <v>8156.65</v>
          </cell>
          <cell r="Q107">
            <v>79024.509999999995</v>
          </cell>
          <cell r="R107">
            <v>60058.83</v>
          </cell>
          <cell r="S107">
            <v>102374.53</v>
          </cell>
          <cell r="T107">
            <v>113832.45</v>
          </cell>
          <cell r="V107">
            <v>569162.23</v>
          </cell>
          <cell r="X107">
            <v>195832.13</v>
          </cell>
          <cell r="Y107">
            <v>137976.29999999999</v>
          </cell>
          <cell r="AG107">
            <v>1218492</v>
          </cell>
          <cell r="AH107">
            <v>91325</v>
          </cell>
          <cell r="AI107">
            <v>113832.45</v>
          </cell>
          <cell r="AJ107">
            <v>227664.89</v>
          </cell>
          <cell r="AK107">
            <v>341497.34</v>
          </cell>
          <cell r="AQ107">
            <v>55548.9</v>
          </cell>
          <cell r="AS107">
            <v>682994.68</v>
          </cell>
          <cell r="AU107">
            <v>39166.43</v>
          </cell>
          <cell r="AV107">
            <v>232947</v>
          </cell>
          <cell r="AW107">
            <v>27200</v>
          </cell>
          <cell r="AX107">
            <v>20400</v>
          </cell>
          <cell r="BA107">
            <v>34000</v>
          </cell>
          <cell r="BB107">
            <v>10200</v>
          </cell>
          <cell r="BC107">
            <v>27200</v>
          </cell>
          <cell r="BD107">
            <v>87454.88</v>
          </cell>
          <cell r="BE107">
            <v>1408.68</v>
          </cell>
          <cell r="BL107">
            <v>119483.41</v>
          </cell>
          <cell r="BM107">
            <v>18955</v>
          </cell>
          <cell r="CB107">
            <v>311170.46000000002</v>
          </cell>
          <cell r="CC107">
            <v>4300.5600000000004</v>
          </cell>
          <cell r="CD107">
            <v>324.79000000000002</v>
          </cell>
          <cell r="CF107">
            <v>111850.85</v>
          </cell>
        </row>
        <row r="108">
          <cell r="B108">
            <v>327</v>
          </cell>
          <cell r="C108">
            <v>4</v>
          </cell>
          <cell r="D108" t="str">
            <v>ES</v>
          </cell>
          <cell r="E108">
            <v>444</v>
          </cell>
          <cell r="F108">
            <v>-45</v>
          </cell>
          <cell r="G108">
            <v>336</v>
          </cell>
          <cell r="H108">
            <v>254</v>
          </cell>
          <cell r="I108">
            <v>0.57207207207207211</v>
          </cell>
          <cell r="J108">
            <v>61.996540178571429</v>
          </cell>
          <cell r="K108">
            <v>299.98325892857144</v>
          </cell>
          <cell r="L108">
            <v>198942.26</v>
          </cell>
          <cell r="O108">
            <v>71961.03</v>
          </cell>
          <cell r="P108">
            <v>6606.3</v>
          </cell>
          <cell r="Q108">
            <v>79024.509999999995</v>
          </cell>
          <cell r="R108">
            <v>60058.83</v>
          </cell>
          <cell r="S108">
            <v>102374.53</v>
          </cell>
          <cell r="T108">
            <v>113832.45</v>
          </cell>
          <cell r="U108">
            <v>341497.34</v>
          </cell>
          <cell r="V108">
            <v>113832.45</v>
          </cell>
          <cell r="W108">
            <v>341497.34</v>
          </cell>
          <cell r="X108">
            <v>274164.99</v>
          </cell>
          <cell r="Y108">
            <v>193525.2</v>
          </cell>
          <cell r="AG108">
            <v>2006928</v>
          </cell>
          <cell r="AH108">
            <v>144300</v>
          </cell>
          <cell r="AI108">
            <v>113832.45</v>
          </cell>
          <cell r="AJ108">
            <v>455329.78</v>
          </cell>
          <cell r="AK108">
            <v>455329.78</v>
          </cell>
          <cell r="AL108">
            <v>113832.45</v>
          </cell>
          <cell r="AM108">
            <v>39166.43</v>
          </cell>
          <cell r="AO108">
            <v>57558.06</v>
          </cell>
          <cell r="AQ108">
            <v>111097.8</v>
          </cell>
          <cell r="AS108">
            <v>1593654.25</v>
          </cell>
          <cell r="AU108">
            <v>78332.850000000006</v>
          </cell>
          <cell r="AV108">
            <v>537570</v>
          </cell>
          <cell r="AW108">
            <v>27200</v>
          </cell>
          <cell r="AX108">
            <v>20400</v>
          </cell>
          <cell r="BA108">
            <v>34000</v>
          </cell>
          <cell r="BB108">
            <v>10200</v>
          </cell>
          <cell r="BC108">
            <v>27200</v>
          </cell>
          <cell r="BD108">
            <v>134212.93</v>
          </cell>
          <cell r="BE108">
            <v>2161.84</v>
          </cell>
          <cell r="CB108">
            <v>681356.02</v>
          </cell>
          <cell r="CC108">
            <v>91267.44</v>
          </cell>
          <cell r="CD108">
            <v>460231.27</v>
          </cell>
          <cell r="CG108">
            <v>112146.92</v>
          </cell>
        </row>
        <row r="109">
          <cell r="B109">
            <v>328</v>
          </cell>
          <cell r="C109">
            <v>1</v>
          </cell>
          <cell r="D109" t="str">
            <v>ES</v>
          </cell>
          <cell r="E109">
            <v>539</v>
          </cell>
          <cell r="F109">
            <v>-10</v>
          </cell>
          <cell r="G109">
            <v>475</v>
          </cell>
          <cell r="H109">
            <v>289</v>
          </cell>
          <cell r="I109">
            <v>0.53617810760667906</v>
          </cell>
          <cell r="J109">
            <v>132.99257812499999</v>
          </cell>
          <cell r="K109">
            <v>299.98325892857144</v>
          </cell>
          <cell r="L109">
            <v>198942.26</v>
          </cell>
          <cell r="O109">
            <v>71961.03</v>
          </cell>
          <cell r="P109">
            <v>6321.8</v>
          </cell>
          <cell r="Q109">
            <v>79024.509999999995</v>
          </cell>
          <cell r="R109">
            <v>60058.83</v>
          </cell>
          <cell r="S109">
            <v>153561.79</v>
          </cell>
          <cell r="T109">
            <v>113832.45</v>
          </cell>
          <cell r="V109">
            <v>455329.78</v>
          </cell>
          <cell r="X109">
            <v>156665.71</v>
          </cell>
          <cell r="Y109">
            <v>114681.60000000001</v>
          </cell>
          <cell r="AG109">
            <v>2837175</v>
          </cell>
          <cell r="AH109">
            <v>175175</v>
          </cell>
          <cell r="AI109">
            <v>113832.45</v>
          </cell>
          <cell r="AJ109">
            <v>341497.34</v>
          </cell>
          <cell r="AK109">
            <v>910659.57</v>
          </cell>
          <cell r="AL109">
            <v>455329.78</v>
          </cell>
          <cell r="AM109">
            <v>234998.56</v>
          </cell>
          <cell r="AQ109">
            <v>238322.7</v>
          </cell>
          <cell r="AS109">
            <v>1593654.25</v>
          </cell>
          <cell r="AU109">
            <v>39166.43</v>
          </cell>
          <cell r="AV109">
            <v>537570</v>
          </cell>
          <cell r="BD109">
            <v>229460.82</v>
          </cell>
          <cell r="BE109">
            <v>3696.05</v>
          </cell>
          <cell r="CB109">
            <v>775243.66</v>
          </cell>
          <cell r="CC109">
            <v>87683.64</v>
          </cell>
        </row>
        <row r="110">
          <cell r="B110">
            <v>329</v>
          </cell>
          <cell r="C110">
            <v>8</v>
          </cell>
          <cell r="D110" t="str">
            <v>ES</v>
          </cell>
          <cell r="E110">
            <v>514</v>
          </cell>
          <cell r="F110">
            <v>25</v>
          </cell>
          <cell r="G110">
            <v>430</v>
          </cell>
          <cell r="H110">
            <v>414</v>
          </cell>
          <cell r="I110">
            <v>0.80544747081712065</v>
          </cell>
          <cell r="J110">
            <v>93.99475446428572</v>
          </cell>
          <cell r="K110">
            <v>1.9998883928571429</v>
          </cell>
          <cell r="L110">
            <v>198942.26</v>
          </cell>
          <cell r="O110">
            <v>71961.03</v>
          </cell>
          <cell r="P110">
            <v>7155.45</v>
          </cell>
          <cell r="Q110">
            <v>79024.509999999995</v>
          </cell>
          <cell r="R110">
            <v>60058.83</v>
          </cell>
          <cell r="S110">
            <v>153561.79</v>
          </cell>
          <cell r="T110">
            <v>113832.45</v>
          </cell>
          <cell r="U110">
            <v>227664.89</v>
          </cell>
          <cell r="V110">
            <v>113832.45</v>
          </cell>
          <cell r="W110">
            <v>227664.89</v>
          </cell>
          <cell r="X110">
            <v>195832.13</v>
          </cell>
          <cell r="Y110">
            <v>150519.6</v>
          </cell>
          <cell r="AG110">
            <v>2568390</v>
          </cell>
          <cell r="AH110">
            <v>167050</v>
          </cell>
          <cell r="AI110">
            <v>113832.45</v>
          </cell>
          <cell r="AJ110">
            <v>227664.89</v>
          </cell>
          <cell r="AK110">
            <v>569162.23</v>
          </cell>
          <cell r="AL110">
            <v>569162.23</v>
          </cell>
          <cell r="AM110">
            <v>391664.27</v>
          </cell>
          <cell r="AQ110">
            <v>168438.6</v>
          </cell>
          <cell r="AT110">
            <v>10244.92</v>
          </cell>
          <cell r="AV110">
            <v>3583.8</v>
          </cell>
          <cell r="AW110">
            <v>20400</v>
          </cell>
          <cell r="AX110">
            <v>13600</v>
          </cell>
          <cell r="BA110">
            <v>27200</v>
          </cell>
          <cell r="BB110">
            <v>10200</v>
          </cell>
          <cell r="BC110">
            <v>20400</v>
          </cell>
          <cell r="BD110">
            <v>278167.12</v>
          </cell>
          <cell r="BE110">
            <v>4480.59</v>
          </cell>
          <cell r="BL110">
            <v>119483.41</v>
          </cell>
          <cell r="BM110">
            <v>19455</v>
          </cell>
          <cell r="BV110">
            <v>15325</v>
          </cell>
          <cell r="CB110">
            <v>1110556.6599999999</v>
          </cell>
          <cell r="CC110">
            <v>248954.64</v>
          </cell>
        </row>
        <row r="111">
          <cell r="B111">
            <v>330</v>
          </cell>
          <cell r="C111">
            <v>6</v>
          </cell>
          <cell r="D111" t="str">
            <v>ES</v>
          </cell>
          <cell r="E111">
            <v>511</v>
          </cell>
          <cell r="F111">
            <v>-36</v>
          </cell>
          <cell r="G111">
            <v>383</v>
          </cell>
          <cell r="H111">
            <v>196</v>
          </cell>
          <cell r="I111">
            <v>0.38356164383561642</v>
          </cell>
          <cell r="J111">
            <v>71.995982142857144</v>
          </cell>
          <cell r="K111">
            <v>16.999051339285714</v>
          </cell>
          <cell r="L111">
            <v>198942.26</v>
          </cell>
          <cell r="O111">
            <v>71961.03</v>
          </cell>
          <cell r="P111">
            <v>6455.85</v>
          </cell>
          <cell r="Q111">
            <v>79024.509999999995</v>
          </cell>
          <cell r="R111">
            <v>60058.83</v>
          </cell>
          <cell r="S111">
            <v>153561.79</v>
          </cell>
          <cell r="T111">
            <v>113832.45</v>
          </cell>
          <cell r="U111">
            <v>455329.78</v>
          </cell>
          <cell r="W111">
            <v>455329.78</v>
          </cell>
          <cell r="X111">
            <v>313331.40999999997</v>
          </cell>
          <cell r="Y111">
            <v>229363.20000000001</v>
          </cell>
          <cell r="AG111">
            <v>2287659</v>
          </cell>
          <cell r="AH111">
            <v>166075</v>
          </cell>
          <cell r="AI111">
            <v>113832.45</v>
          </cell>
          <cell r="AJ111">
            <v>227664.89</v>
          </cell>
          <cell r="AK111">
            <v>455329.78</v>
          </cell>
          <cell r="AL111">
            <v>341497.34</v>
          </cell>
          <cell r="AM111">
            <v>234998.56</v>
          </cell>
          <cell r="AQ111">
            <v>129016.8</v>
          </cell>
          <cell r="AS111">
            <v>113832.45</v>
          </cell>
          <cell r="AV111">
            <v>30462.3</v>
          </cell>
          <cell r="AW111">
            <v>20400</v>
          </cell>
          <cell r="AX111">
            <v>13600</v>
          </cell>
          <cell r="BA111">
            <v>20400</v>
          </cell>
          <cell r="BB111">
            <v>10200</v>
          </cell>
          <cell r="BC111">
            <v>13600</v>
          </cell>
          <cell r="BD111">
            <v>150664.84</v>
          </cell>
          <cell r="BE111">
            <v>2426.84</v>
          </cell>
          <cell r="BQ111">
            <v>119500</v>
          </cell>
          <cell r="BV111">
            <v>15325</v>
          </cell>
          <cell r="CB111">
            <v>525770.78</v>
          </cell>
          <cell r="CD111">
            <v>390346.52</v>
          </cell>
          <cell r="CE111">
            <v>321033.63</v>
          </cell>
          <cell r="CF111">
            <v>210749.93</v>
          </cell>
          <cell r="CG111">
            <v>76387.09</v>
          </cell>
        </row>
        <row r="112">
          <cell r="B112">
            <v>331</v>
          </cell>
          <cell r="C112">
            <v>6</v>
          </cell>
          <cell r="D112" t="str">
            <v>ES</v>
          </cell>
          <cell r="E112">
            <v>371</v>
          </cell>
          <cell r="F112">
            <v>-9</v>
          </cell>
          <cell r="G112">
            <v>304</v>
          </cell>
          <cell r="H112">
            <v>123</v>
          </cell>
          <cell r="I112">
            <v>0.33153638814016173</v>
          </cell>
          <cell r="J112">
            <v>45.99743303571428</v>
          </cell>
          <cell r="K112">
            <v>3.9997767857142859</v>
          </cell>
          <cell r="L112">
            <v>198942.26</v>
          </cell>
          <cell r="O112">
            <v>71961.03</v>
          </cell>
          <cell r="P112">
            <v>5376.65</v>
          </cell>
          <cell r="Q112">
            <v>79024.509999999995</v>
          </cell>
          <cell r="R112">
            <v>60058.83</v>
          </cell>
          <cell r="S112">
            <v>102374.53</v>
          </cell>
          <cell r="T112">
            <v>113832.45</v>
          </cell>
          <cell r="U112">
            <v>227664.89</v>
          </cell>
          <cell r="W112">
            <v>227664.89</v>
          </cell>
          <cell r="X112">
            <v>156665.71</v>
          </cell>
          <cell r="Y112">
            <v>120057.3</v>
          </cell>
          <cell r="AG112">
            <v>1815792</v>
          </cell>
          <cell r="AH112">
            <v>120575</v>
          </cell>
          <cell r="AI112">
            <v>113832.45</v>
          </cell>
          <cell r="AJ112">
            <v>113832.45</v>
          </cell>
          <cell r="AK112">
            <v>341497.34</v>
          </cell>
          <cell r="AQ112">
            <v>82427.399999999994</v>
          </cell>
          <cell r="AT112">
            <v>20489.84</v>
          </cell>
          <cell r="AV112">
            <v>7167.6</v>
          </cell>
          <cell r="BD112">
            <v>109968.02</v>
          </cell>
          <cell r="BE112">
            <v>1771.31</v>
          </cell>
          <cell r="BV112">
            <v>15325</v>
          </cell>
          <cell r="CB112">
            <v>329947.99</v>
          </cell>
          <cell r="CD112">
            <v>238871.27</v>
          </cell>
          <cell r="CE112">
            <v>182422.87</v>
          </cell>
          <cell r="CF112">
            <v>77168.649999999994</v>
          </cell>
          <cell r="CG112">
            <v>25136.11</v>
          </cell>
        </row>
        <row r="113">
          <cell r="B113">
            <v>332</v>
          </cell>
          <cell r="C113">
            <v>6</v>
          </cell>
          <cell r="D113" t="str">
            <v>EC</v>
          </cell>
          <cell r="E113">
            <v>384</v>
          </cell>
          <cell r="F113">
            <v>-20</v>
          </cell>
          <cell r="G113">
            <v>322</v>
          </cell>
          <cell r="H113">
            <v>298</v>
          </cell>
          <cell r="I113">
            <v>0.77604166666666663</v>
          </cell>
          <cell r="J113">
            <v>66.996261160714283</v>
          </cell>
          <cell r="K113">
            <v>16.999051339285714</v>
          </cell>
          <cell r="L113">
            <v>198942.26</v>
          </cell>
          <cell r="M113">
            <v>56916.22</v>
          </cell>
          <cell r="O113">
            <v>71961.03</v>
          </cell>
          <cell r="P113">
            <v>7283.7</v>
          </cell>
          <cell r="Q113">
            <v>79024.509999999995</v>
          </cell>
          <cell r="R113">
            <v>60058.83</v>
          </cell>
          <cell r="S113">
            <v>102374.53</v>
          </cell>
          <cell r="T113">
            <v>113832.45</v>
          </cell>
          <cell r="U113">
            <v>227664.89</v>
          </cell>
          <cell r="W113">
            <v>227664.89</v>
          </cell>
          <cell r="X113">
            <v>156665.71</v>
          </cell>
          <cell r="Y113">
            <v>111097.8</v>
          </cell>
          <cell r="AB113">
            <v>480826.5</v>
          </cell>
          <cell r="AG113">
            <v>1923306</v>
          </cell>
          <cell r="AH113">
            <v>126720</v>
          </cell>
          <cell r="AI113">
            <v>113832.45</v>
          </cell>
          <cell r="AJ113">
            <v>227664.89</v>
          </cell>
          <cell r="AK113">
            <v>569162.23</v>
          </cell>
          <cell r="AL113">
            <v>455329.78</v>
          </cell>
          <cell r="AM113">
            <v>313331.40999999997</v>
          </cell>
          <cell r="AP113">
            <v>119483.41</v>
          </cell>
          <cell r="AQ113">
            <v>120057.3</v>
          </cell>
          <cell r="AS113">
            <v>113832.45</v>
          </cell>
          <cell r="AV113">
            <v>30462.3</v>
          </cell>
          <cell r="AW113">
            <v>20400</v>
          </cell>
          <cell r="AX113">
            <v>13600</v>
          </cell>
          <cell r="BA113">
            <v>20400</v>
          </cell>
          <cell r="BB113">
            <v>10200</v>
          </cell>
          <cell r="BC113">
            <v>13600</v>
          </cell>
          <cell r="BD113">
            <v>207813.57</v>
          </cell>
          <cell r="BE113">
            <v>3347.36</v>
          </cell>
          <cell r="BV113">
            <v>15325</v>
          </cell>
          <cell r="CB113">
            <v>799386.19</v>
          </cell>
          <cell r="CC113">
            <v>172500.24</v>
          </cell>
        </row>
        <row r="114">
          <cell r="B114">
            <v>333</v>
          </cell>
          <cell r="C114">
            <v>6</v>
          </cell>
          <cell r="D114" t="str">
            <v>ES</v>
          </cell>
          <cell r="E114">
            <v>417</v>
          </cell>
          <cell r="F114">
            <v>-39</v>
          </cell>
          <cell r="G114">
            <v>417</v>
          </cell>
          <cell r="H114">
            <v>119</v>
          </cell>
          <cell r="I114">
            <v>0.28537170263788969</v>
          </cell>
          <cell r="J114">
            <v>37.99787946428571</v>
          </cell>
          <cell r="K114">
            <v>2.9998325892857141</v>
          </cell>
          <cell r="L114">
            <v>198942.26</v>
          </cell>
          <cell r="O114">
            <v>71961.03</v>
          </cell>
          <cell r="P114">
            <v>6126.45</v>
          </cell>
          <cell r="Q114">
            <v>79024.509999999995</v>
          </cell>
          <cell r="R114">
            <v>60058.83</v>
          </cell>
          <cell r="S114">
            <v>102374.53</v>
          </cell>
          <cell r="T114">
            <v>113832.45</v>
          </cell>
          <cell r="AG114">
            <v>2490741</v>
          </cell>
          <cell r="AH114">
            <v>135525</v>
          </cell>
          <cell r="AI114">
            <v>113832.45</v>
          </cell>
          <cell r="AJ114">
            <v>227664.89</v>
          </cell>
          <cell r="AK114">
            <v>341497.34</v>
          </cell>
          <cell r="AQ114">
            <v>68092.2</v>
          </cell>
          <cell r="AT114">
            <v>15936.54</v>
          </cell>
          <cell r="AV114">
            <v>5375.7</v>
          </cell>
          <cell r="BF114">
            <v>10425</v>
          </cell>
          <cell r="CB114">
            <v>319217.98</v>
          </cell>
          <cell r="CE114">
            <v>76137.37</v>
          </cell>
          <cell r="CF114">
            <v>550707.22</v>
          </cell>
        </row>
        <row r="115">
          <cell r="B115">
            <v>335</v>
          </cell>
          <cell r="C115">
            <v>5</v>
          </cell>
          <cell r="D115" t="str">
            <v>EC</v>
          </cell>
          <cell r="E115">
            <v>355</v>
          </cell>
          <cell r="F115">
            <v>-7</v>
          </cell>
          <cell r="G115">
            <v>289</v>
          </cell>
          <cell r="H115">
            <v>257</v>
          </cell>
          <cell r="I115">
            <v>0.72394366197183102</v>
          </cell>
          <cell r="J115">
            <v>34.998046875</v>
          </cell>
          <cell r="K115">
            <v>33.998102678571428</v>
          </cell>
          <cell r="L115">
            <v>198942.26</v>
          </cell>
          <cell r="M115">
            <v>56916.22</v>
          </cell>
          <cell r="O115">
            <v>71961.03</v>
          </cell>
          <cell r="P115">
            <v>7194.65</v>
          </cell>
          <cell r="Q115">
            <v>79024.509999999995</v>
          </cell>
          <cell r="R115">
            <v>60058.83</v>
          </cell>
          <cell r="S115">
            <v>102374.53</v>
          </cell>
          <cell r="T115">
            <v>113832.45</v>
          </cell>
          <cell r="U115">
            <v>227664.89</v>
          </cell>
          <cell r="V115">
            <v>113832.45</v>
          </cell>
          <cell r="W115">
            <v>227664.89</v>
          </cell>
          <cell r="X115">
            <v>195832.13</v>
          </cell>
          <cell r="Y115">
            <v>118265.4</v>
          </cell>
          <cell r="AB115">
            <v>431549.25</v>
          </cell>
          <cell r="AG115">
            <v>1726197</v>
          </cell>
          <cell r="AH115">
            <v>117150</v>
          </cell>
          <cell r="AI115">
            <v>113832.45</v>
          </cell>
          <cell r="AJ115">
            <v>341497.34</v>
          </cell>
          <cell r="AK115">
            <v>682994.68</v>
          </cell>
          <cell r="AL115">
            <v>341497.34</v>
          </cell>
          <cell r="AM115">
            <v>195832.13</v>
          </cell>
          <cell r="AQ115">
            <v>62716.5</v>
          </cell>
          <cell r="AS115">
            <v>227664.89</v>
          </cell>
          <cell r="AV115">
            <v>60924.6</v>
          </cell>
          <cell r="AW115">
            <v>13600</v>
          </cell>
          <cell r="AX115">
            <v>6800</v>
          </cell>
          <cell r="BA115">
            <v>20400</v>
          </cell>
          <cell r="BB115">
            <v>10200</v>
          </cell>
          <cell r="BC115">
            <v>13600</v>
          </cell>
          <cell r="BD115">
            <v>192119.32</v>
          </cell>
          <cell r="BE115">
            <v>3094.57</v>
          </cell>
          <cell r="BV115">
            <v>15325</v>
          </cell>
          <cell r="CB115">
            <v>689403.53</v>
          </cell>
          <cell r="CC115">
            <v>137379</v>
          </cell>
        </row>
        <row r="116">
          <cell r="B116">
            <v>338</v>
          </cell>
          <cell r="C116">
            <v>4</v>
          </cell>
          <cell r="D116" t="str">
            <v>ES</v>
          </cell>
          <cell r="E116">
            <v>346</v>
          </cell>
          <cell r="F116">
            <v>-32</v>
          </cell>
          <cell r="G116">
            <v>273</v>
          </cell>
          <cell r="H116">
            <v>194</v>
          </cell>
          <cell r="I116">
            <v>0.56069364161849711</v>
          </cell>
          <cell r="J116">
            <v>64.996372767857139</v>
          </cell>
          <cell r="K116">
            <v>99.994419642857139</v>
          </cell>
          <cell r="L116">
            <v>198942.26</v>
          </cell>
          <cell r="O116">
            <v>71961.03</v>
          </cell>
          <cell r="P116">
            <v>5631.8</v>
          </cell>
          <cell r="Q116">
            <v>79024.509999999995</v>
          </cell>
          <cell r="R116">
            <v>60058.83</v>
          </cell>
          <cell r="S116">
            <v>102374.53</v>
          </cell>
          <cell r="T116">
            <v>113832.45</v>
          </cell>
          <cell r="U116">
            <v>227664.89</v>
          </cell>
          <cell r="V116">
            <v>113832.45</v>
          </cell>
          <cell r="W116">
            <v>227664.89</v>
          </cell>
          <cell r="X116">
            <v>195832.13</v>
          </cell>
          <cell r="Y116">
            <v>130808.7</v>
          </cell>
          <cell r="AG116">
            <v>1630629</v>
          </cell>
          <cell r="AH116">
            <v>112450</v>
          </cell>
          <cell r="AI116">
            <v>113832.45</v>
          </cell>
          <cell r="AJ116">
            <v>227664.89</v>
          </cell>
          <cell r="AK116">
            <v>455329.78</v>
          </cell>
          <cell r="AL116">
            <v>682994.68</v>
          </cell>
          <cell r="AM116">
            <v>430830.69</v>
          </cell>
          <cell r="AQ116">
            <v>116473.5</v>
          </cell>
          <cell r="AS116">
            <v>569162.23</v>
          </cell>
          <cell r="AV116">
            <v>179190</v>
          </cell>
          <cell r="AW116">
            <v>20400</v>
          </cell>
          <cell r="AX116">
            <v>13600</v>
          </cell>
          <cell r="BA116">
            <v>27200</v>
          </cell>
          <cell r="BB116">
            <v>10200</v>
          </cell>
          <cell r="BC116">
            <v>20400</v>
          </cell>
          <cell r="BD116">
            <v>138542.38</v>
          </cell>
          <cell r="BE116">
            <v>2231.58</v>
          </cell>
          <cell r="BV116">
            <v>15325</v>
          </cell>
          <cell r="CB116">
            <v>520405.78</v>
          </cell>
          <cell r="CC116">
            <v>66419.759999999995</v>
          </cell>
          <cell r="CE116">
            <v>43462.37</v>
          </cell>
        </row>
        <row r="117">
          <cell r="B117">
            <v>463</v>
          </cell>
          <cell r="C117">
            <v>3</v>
          </cell>
          <cell r="D117" t="str">
            <v>HS</v>
          </cell>
          <cell r="E117">
            <v>2128</v>
          </cell>
          <cell r="F117">
            <v>113</v>
          </cell>
          <cell r="G117">
            <v>2128</v>
          </cell>
          <cell r="H117">
            <v>540</v>
          </cell>
          <cell r="I117">
            <v>0.25375939849624063</v>
          </cell>
          <cell r="J117">
            <v>237.98671874999999</v>
          </cell>
          <cell r="K117">
            <v>173.99029017857143</v>
          </cell>
          <cell r="L117">
            <v>198942.26</v>
          </cell>
          <cell r="N117">
            <v>1155824.3799999999</v>
          </cell>
          <cell r="O117">
            <v>71961.03</v>
          </cell>
          <cell r="P117">
            <v>31160.97</v>
          </cell>
          <cell r="Q117">
            <v>79024.509999999995</v>
          </cell>
          <cell r="R117">
            <v>60058.83</v>
          </cell>
          <cell r="S117">
            <v>614247.17000000004</v>
          </cell>
          <cell r="T117">
            <v>113832.45</v>
          </cell>
          <cell r="AC117">
            <v>1024492.02</v>
          </cell>
          <cell r="AF117">
            <v>341497.34</v>
          </cell>
          <cell r="AG117">
            <v>12710544</v>
          </cell>
          <cell r="AH117">
            <v>1261904</v>
          </cell>
          <cell r="AI117">
            <v>227664.89</v>
          </cell>
          <cell r="AJ117">
            <v>569162.23</v>
          </cell>
          <cell r="AK117">
            <v>2048984.03</v>
          </cell>
          <cell r="AL117">
            <v>796827.12</v>
          </cell>
          <cell r="AM117">
            <v>391664.27</v>
          </cell>
          <cell r="AO117">
            <v>57558.06</v>
          </cell>
          <cell r="AQ117">
            <v>426472.2</v>
          </cell>
          <cell r="AS117">
            <v>910659.57</v>
          </cell>
          <cell r="AV117">
            <v>311790.59999999998</v>
          </cell>
          <cell r="AZ117">
            <v>85000</v>
          </cell>
          <cell r="BF117">
            <v>53200</v>
          </cell>
          <cell r="BX117">
            <v>132208</v>
          </cell>
          <cell r="BY117">
            <v>147878.60999999999</v>
          </cell>
          <cell r="BZ117">
            <v>119483.41</v>
          </cell>
          <cell r="CB117">
            <v>1710096.3</v>
          </cell>
        </row>
        <row r="118">
          <cell r="B118">
            <v>464</v>
          </cell>
          <cell r="C118">
            <v>7</v>
          </cell>
          <cell r="D118" t="str">
            <v>HS</v>
          </cell>
          <cell r="E118">
            <v>506</v>
          </cell>
          <cell r="F118">
            <v>1</v>
          </cell>
          <cell r="G118">
            <v>506</v>
          </cell>
          <cell r="H118">
            <v>371</v>
          </cell>
          <cell r="I118">
            <v>0.73320158102766797</v>
          </cell>
          <cell r="J118">
            <v>130.99268973214285</v>
          </cell>
          <cell r="K118">
            <v>10.999386160714286</v>
          </cell>
          <cell r="L118">
            <v>198942.26</v>
          </cell>
          <cell r="N118">
            <v>321062.33</v>
          </cell>
          <cell r="O118">
            <v>71961.03</v>
          </cell>
          <cell r="P118">
            <v>22922.81</v>
          </cell>
          <cell r="Q118">
            <v>79024.509999999995</v>
          </cell>
          <cell r="R118">
            <v>60058.83</v>
          </cell>
          <cell r="S118">
            <v>358310.85</v>
          </cell>
          <cell r="T118">
            <v>113832.45</v>
          </cell>
          <cell r="AC118">
            <v>569162.23</v>
          </cell>
          <cell r="AE118">
            <v>104263.14</v>
          </cell>
          <cell r="AF118">
            <v>113832.45</v>
          </cell>
          <cell r="AG118">
            <v>3022338</v>
          </cell>
          <cell r="AH118">
            <v>300058</v>
          </cell>
          <cell r="AI118">
            <v>227664.89</v>
          </cell>
          <cell r="AJ118">
            <v>455329.78</v>
          </cell>
          <cell r="AK118">
            <v>910659.57</v>
          </cell>
          <cell r="AL118">
            <v>1024492.02</v>
          </cell>
          <cell r="AM118">
            <v>430830.69</v>
          </cell>
          <cell r="AO118">
            <v>115116.11</v>
          </cell>
          <cell r="AQ118">
            <v>234738.9</v>
          </cell>
          <cell r="AS118">
            <v>113832.45</v>
          </cell>
          <cell r="AV118">
            <v>19710.900000000001</v>
          </cell>
          <cell r="AZ118">
            <v>60000</v>
          </cell>
          <cell r="BD118">
            <v>270157.64</v>
          </cell>
          <cell r="BE118">
            <v>4351.57</v>
          </cell>
          <cell r="BH118">
            <v>158559.82</v>
          </cell>
          <cell r="BI118">
            <v>26216.09</v>
          </cell>
          <cell r="BJ118">
            <v>9000</v>
          </cell>
          <cell r="BK118">
            <v>17200</v>
          </cell>
          <cell r="BR118">
            <v>113832.45</v>
          </cell>
          <cell r="BT118">
            <v>140941</v>
          </cell>
          <cell r="BU118">
            <v>5000</v>
          </cell>
          <cell r="BY118">
            <v>443635.82</v>
          </cell>
          <cell r="BZ118">
            <v>238966.82</v>
          </cell>
          <cell r="CB118">
            <v>1109215.3999999999</v>
          </cell>
          <cell r="CC118">
            <v>221478.84</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21&amp;FY22 summ"/>
      <sheetName val="Critical pairs"/>
      <sheetName val="$$xSchpostCouncilxLevel"/>
      <sheetName val="$$xSchpostCouncil"/>
      <sheetName val="pdf DetailxSch $$ (2)"/>
      <sheetName val="pdf DetailxSch $$"/>
      <sheetName val="pdf DetailxSch Pos"/>
      <sheetName val="FY22@ FY21 cost"/>
      <sheetName val="Summaries"/>
      <sheetName val="Bud Cates"/>
    </sheetNames>
    <sheetDataSet>
      <sheetData sheetId="0"/>
      <sheetData sheetId="1"/>
      <sheetData sheetId="2">
        <row r="4">
          <cell r="A4">
            <v>1165</v>
          </cell>
          <cell r="B4" t="str">
            <v xml:space="preserve">Military Road Early Learning Center </v>
          </cell>
          <cell r="C4" t="str">
            <v>ECE</v>
          </cell>
          <cell r="D4">
            <v>4</v>
          </cell>
          <cell r="E4">
            <v>73</v>
          </cell>
          <cell r="F4">
            <v>0.50700000000000001</v>
          </cell>
          <cell r="G4">
            <v>37</v>
          </cell>
          <cell r="H4">
            <v>195277</v>
          </cell>
          <cell r="I4">
            <v>112569</v>
          </cell>
          <cell r="M4">
            <v>45440</v>
          </cell>
          <cell r="N4">
            <v>67876</v>
          </cell>
          <cell r="S4">
            <v>78183</v>
          </cell>
          <cell r="T4">
            <v>60194</v>
          </cell>
          <cell r="U4">
            <v>50595</v>
          </cell>
          <cell r="V4">
            <v>56285</v>
          </cell>
          <cell r="W4">
            <v>56284.54</v>
          </cell>
          <cell r="X4">
            <v>337707</v>
          </cell>
          <cell r="Z4">
            <v>225138</v>
          </cell>
          <cell r="AB4">
            <v>225138</v>
          </cell>
          <cell r="AC4">
            <v>149952</v>
          </cell>
          <cell r="AI4">
            <v>450276</v>
          </cell>
          <cell r="AJ4">
            <v>112464</v>
          </cell>
          <cell r="AN4">
            <v>40525</v>
          </cell>
          <cell r="AW4">
            <v>0</v>
          </cell>
          <cell r="AX4">
            <v>14255.19</v>
          </cell>
          <cell r="AZ4">
            <v>0</v>
          </cell>
          <cell r="BU4">
            <v>55922</v>
          </cell>
          <cell r="CM4">
            <v>48100</v>
          </cell>
          <cell r="CN4">
            <v>35966</v>
          </cell>
          <cell r="CY4">
            <v>4322</v>
          </cell>
          <cell r="DD4">
            <v>2422468.73</v>
          </cell>
          <cell r="DE4">
            <v>-56057.39000000013</v>
          </cell>
          <cell r="DF4">
            <v>2366411.34</v>
          </cell>
          <cell r="DG4">
            <v>45000</v>
          </cell>
          <cell r="DH4">
            <v>0</v>
          </cell>
          <cell r="DI4">
            <v>2366411.34</v>
          </cell>
          <cell r="DJ4">
            <v>2411411.34</v>
          </cell>
          <cell r="DK4">
            <v>1555732.54</v>
          </cell>
          <cell r="DL4">
            <v>93666</v>
          </cell>
          <cell r="DM4">
            <v>0</v>
          </cell>
          <cell r="DN4">
            <v>4322</v>
          </cell>
          <cell r="DO4">
            <v>89344</v>
          </cell>
          <cell r="DP4">
            <v>0.95385732282792046</v>
          </cell>
          <cell r="DQ4">
            <v>1655360.54</v>
          </cell>
          <cell r="DR4">
            <v>562740</v>
          </cell>
          <cell r="DS4">
            <v>40525</v>
          </cell>
          <cell r="DT4">
            <v>14255.19</v>
          </cell>
          <cell r="DU4">
            <v>0</v>
          </cell>
          <cell r="DV4">
            <v>0</v>
          </cell>
          <cell r="DW4">
            <v>0</v>
          </cell>
          <cell r="DX4">
            <v>55922</v>
          </cell>
          <cell r="DY4">
            <v>-56057.39000000013</v>
          </cell>
          <cell r="DZ4">
            <v>45000</v>
          </cell>
          <cell r="EA4">
            <v>89344</v>
          </cell>
          <cell r="EB4" t="str">
            <v>N/A</v>
          </cell>
          <cell r="EC4">
            <v>0</v>
          </cell>
          <cell r="ED4">
            <v>4322</v>
          </cell>
          <cell r="EE4">
            <v>93666</v>
          </cell>
          <cell r="EF4">
            <v>2411411.34</v>
          </cell>
          <cell r="EH4">
            <v>1599303.15</v>
          </cell>
          <cell r="EI4">
            <v>21908.262328767123</v>
          </cell>
          <cell r="EJ4">
            <v>21908.262328767123</v>
          </cell>
          <cell r="EK4">
            <v>2366411.34</v>
          </cell>
          <cell r="EL4" t="str">
            <v>N/A</v>
          </cell>
          <cell r="EM4" t="str">
            <v>N/A</v>
          </cell>
          <cell r="EN4" t="str">
            <v>N/A</v>
          </cell>
          <cell r="EO4" t="str">
            <v>N/A</v>
          </cell>
          <cell r="EP4" t="str">
            <v>N/A</v>
          </cell>
          <cell r="EQ4">
            <v>2352156.15</v>
          </cell>
          <cell r="ER4">
            <v>1644303.15</v>
          </cell>
          <cell r="ES4">
            <v>22524.700684931504</v>
          </cell>
          <cell r="ET4">
            <v>600228</v>
          </cell>
          <cell r="EU4">
            <v>73</v>
          </cell>
          <cell r="EV4">
            <v>13685.960958904108</v>
          </cell>
          <cell r="EW4">
            <v>0</v>
          </cell>
        </row>
        <row r="5">
          <cell r="A5">
            <v>1142</v>
          </cell>
          <cell r="B5" t="str">
            <v>Stevens Early Learning Center</v>
          </cell>
          <cell r="C5" t="str">
            <v>ECE</v>
          </cell>
          <cell r="D5">
            <v>2</v>
          </cell>
          <cell r="E5">
            <v>82</v>
          </cell>
          <cell r="F5">
            <v>0.19500000000000001</v>
          </cell>
          <cell r="G5">
            <v>16</v>
          </cell>
          <cell r="H5">
            <v>195277</v>
          </cell>
          <cell r="I5">
            <v>112569</v>
          </cell>
          <cell r="M5">
            <v>45440</v>
          </cell>
          <cell r="N5">
            <v>67876</v>
          </cell>
          <cell r="S5">
            <v>78183</v>
          </cell>
          <cell r="T5">
            <v>60194</v>
          </cell>
          <cell r="U5">
            <v>50595</v>
          </cell>
          <cell r="V5">
            <v>56285</v>
          </cell>
          <cell r="W5">
            <v>56284.54</v>
          </cell>
          <cell r="X5">
            <v>337707</v>
          </cell>
          <cell r="Z5">
            <v>337707</v>
          </cell>
          <cell r="AB5">
            <v>225138</v>
          </cell>
          <cell r="AC5">
            <v>187440</v>
          </cell>
          <cell r="AG5">
            <v>112569</v>
          </cell>
          <cell r="AH5">
            <v>112569</v>
          </cell>
          <cell r="AI5">
            <v>562845</v>
          </cell>
          <cell r="AJ5">
            <v>187440</v>
          </cell>
          <cell r="AN5">
            <v>20262</v>
          </cell>
          <cell r="AR5">
            <v>1700</v>
          </cell>
          <cell r="AS5">
            <v>1700</v>
          </cell>
          <cell r="AT5">
            <v>10200</v>
          </cell>
          <cell r="AW5">
            <v>23800</v>
          </cell>
          <cell r="AX5">
            <v>4053.85</v>
          </cell>
          <cell r="AZ5">
            <v>0</v>
          </cell>
          <cell r="BU5">
            <v>55922</v>
          </cell>
          <cell r="BZ5">
            <v>615</v>
          </cell>
          <cell r="CA5">
            <v>535</v>
          </cell>
          <cell r="CB5">
            <v>535</v>
          </cell>
          <cell r="CC5">
            <v>615</v>
          </cell>
          <cell r="CD5">
            <v>2140</v>
          </cell>
          <cell r="CM5">
            <v>8200</v>
          </cell>
          <cell r="CN5">
            <v>44280</v>
          </cell>
          <cell r="CO5">
            <v>3251</v>
          </cell>
          <cell r="CY5">
            <v>6128</v>
          </cell>
          <cell r="DC5">
            <v>0</v>
          </cell>
          <cell r="DD5">
            <v>2970055.39</v>
          </cell>
          <cell r="DE5">
            <v>-56075.679070442449</v>
          </cell>
          <cell r="DF5">
            <v>2913979.7109295577</v>
          </cell>
          <cell r="DG5">
            <v>34161</v>
          </cell>
          <cell r="DH5">
            <v>0</v>
          </cell>
          <cell r="DI5">
            <v>2913979.7109295577</v>
          </cell>
          <cell r="DJ5">
            <v>2948140.7109295577</v>
          </cell>
          <cell r="DK5">
            <v>1681894.54</v>
          </cell>
          <cell r="DL5">
            <v>40504</v>
          </cell>
          <cell r="DM5">
            <v>13600</v>
          </cell>
          <cell r="DN5">
            <v>6128</v>
          </cell>
          <cell r="DO5">
            <v>20776</v>
          </cell>
          <cell r="DP5">
            <v>0.51293699387714797</v>
          </cell>
          <cell r="DQ5">
            <v>1850090.54</v>
          </cell>
          <cell r="DR5">
            <v>975423</v>
          </cell>
          <cell r="DS5">
            <v>20262</v>
          </cell>
          <cell r="DT5">
            <v>27853.85</v>
          </cell>
          <cell r="DU5">
            <v>0</v>
          </cell>
          <cell r="DV5">
            <v>0</v>
          </cell>
          <cell r="DW5">
            <v>0</v>
          </cell>
          <cell r="DX5">
            <v>55922</v>
          </cell>
          <cell r="DY5">
            <v>-56075.679070442449</v>
          </cell>
          <cell r="DZ5">
            <v>34161</v>
          </cell>
          <cell r="EA5">
            <v>20776</v>
          </cell>
          <cell r="EB5">
            <v>0.51293699387714797</v>
          </cell>
          <cell r="EC5">
            <v>13600</v>
          </cell>
          <cell r="ED5">
            <v>6128</v>
          </cell>
          <cell r="EE5">
            <v>40504</v>
          </cell>
          <cell r="EF5">
            <v>2948141.2238665516</v>
          </cell>
          <cell r="EH5">
            <v>1794014.8609295576</v>
          </cell>
          <cell r="EI5">
            <v>21878.230011336069</v>
          </cell>
          <cell r="EJ5">
            <v>21878.230011336069</v>
          </cell>
          <cell r="EK5">
            <v>2913979.7109295577</v>
          </cell>
          <cell r="EL5">
            <v>2548882</v>
          </cell>
          <cell r="EM5">
            <v>365097.71092955768</v>
          </cell>
          <cell r="EN5">
            <v>0.14323837311007637</v>
          </cell>
          <cell r="EO5">
            <v>365097.71092955768</v>
          </cell>
          <cell r="EP5">
            <v>399258.71092955768</v>
          </cell>
          <cell r="EQ5">
            <v>2886125.8609295576</v>
          </cell>
          <cell r="ER5">
            <v>1828175.8609295576</v>
          </cell>
          <cell r="ES5">
            <v>22294.827572311679</v>
          </cell>
          <cell r="ET5">
            <v>750285</v>
          </cell>
          <cell r="EU5">
            <v>82</v>
          </cell>
          <cell r="EV5">
            <v>14297.669327802159</v>
          </cell>
          <cell r="EW5">
            <v>0</v>
          </cell>
        </row>
        <row r="6">
          <cell r="A6">
            <v>301</v>
          </cell>
          <cell r="B6" t="str">
            <v>Peabody ES</v>
          </cell>
          <cell r="C6" t="str">
            <v>ECE</v>
          </cell>
          <cell r="D6">
            <v>6</v>
          </cell>
          <cell r="E6">
            <v>219</v>
          </cell>
          <cell r="F6">
            <v>8.6999999999999994E-2</v>
          </cell>
          <cell r="G6">
            <v>19</v>
          </cell>
          <cell r="H6">
            <v>97638.5</v>
          </cell>
          <cell r="I6">
            <v>112569</v>
          </cell>
          <cell r="J6">
            <v>156529</v>
          </cell>
          <cell r="M6">
            <v>45440</v>
          </cell>
          <cell r="N6">
            <v>67876</v>
          </cell>
          <cell r="S6">
            <v>78183</v>
          </cell>
          <cell r="T6">
            <v>60194</v>
          </cell>
          <cell r="U6">
            <v>50595</v>
          </cell>
          <cell r="V6">
            <v>56285</v>
          </cell>
          <cell r="X6">
            <v>337707</v>
          </cell>
          <cell r="Z6">
            <v>450276</v>
          </cell>
          <cell r="AB6">
            <v>450276</v>
          </cell>
          <cell r="AC6">
            <v>299904</v>
          </cell>
          <cell r="AD6">
            <v>149952</v>
          </cell>
          <cell r="AE6">
            <v>450276</v>
          </cell>
          <cell r="AG6">
            <v>112569</v>
          </cell>
          <cell r="AH6">
            <v>112569</v>
          </cell>
          <cell r="AI6">
            <v>112569</v>
          </cell>
          <cell r="AN6">
            <v>5628</v>
          </cell>
          <cell r="AW6">
            <v>0</v>
          </cell>
          <cell r="AX6">
            <v>0</v>
          </cell>
          <cell r="AY6">
            <v>5475</v>
          </cell>
          <cell r="AZ6">
            <v>0</v>
          </cell>
          <cell r="BU6">
            <v>55922</v>
          </cell>
          <cell r="BZ6">
            <v>1259</v>
          </cell>
          <cell r="CA6">
            <v>1095</v>
          </cell>
          <cell r="CB6">
            <v>1095</v>
          </cell>
          <cell r="CC6">
            <v>1259</v>
          </cell>
          <cell r="CD6">
            <v>4380</v>
          </cell>
          <cell r="CM6">
            <v>21900</v>
          </cell>
          <cell r="CN6">
            <v>50053</v>
          </cell>
          <cell r="CO6">
            <v>4181</v>
          </cell>
          <cell r="CY6">
            <v>2544</v>
          </cell>
          <cell r="DC6">
            <v>-112569</v>
          </cell>
          <cell r="DD6">
            <v>3243629.5</v>
          </cell>
          <cell r="DE6">
            <v>-98145.143990594894</v>
          </cell>
          <cell r="DF6">
            <v>3145484.3560094051</v>
          </cell>
          <cell r="DG6">
            <v>46680</v>
          </cell>
          <cell r="DH6">
            <v>0</v>
          </cell>
          <cell r="DI6">
            <v>3145484.3560094051</v>
          </cell>
          <cell r="DJ6">
            <v>3192164.3560094051</v>
          </cell>
          <cell r="DK6">
            <v>2759950.5</v>
          </cell>
          <cell r="DL6">
            <v>48099</v>
          </cell>
          <cell r="DM6">
            <v>0</v>
          </cell>
          <cell r="DN6">
            <v>2544</v>
          </cell>
          <cell r="DO6">
            <v>45555</v>
          </cell>
          <cell r="DP6">
            <v>0.94710908750701672</v>
          </cell>
          <cell r="DQ6">
            <v>2903367.5</v>
          </cell>
          <cell r="DR6">
            <v>337707</v>
          </cell>
          <cell r="DS6">
            <v>5628</v>
          </cell>
          <cell r="DT6">
            <v>5475</v>
          </cell>
          <cell r="DU6">
            <v>0</v>
          </cell>
          <cell r="DV6">
            <v>0</v>
          </cell>
          <cell r="DW6">
            <v>0</v>
          </cell>
          <cell r="DX6">
            <v>55922</v>
          </cell>
          <cell r="DY6">
            <v>-210714.14399059489</v>
          </cell>
          <cell r="DZ6">
            <v>46680</v>
          </cell>
          <cell r="EA6">
            <v>45555</v>
          </cell>
          <cell r="EB6">
            <v>0.94710908750701672</v>
          </cell>
          <cell r="EC6">
            <v>0</v>
          </cell>
          <cell r="ED6">
            <v>2544</v>
          </cell>
          <cell r="EE6">
            <v>48099</v>
          </cell>
          <cell r="EF6">
            <v>3192165.3031184925</v>
          </cell>
          <cell r="EH6">
            <v>2692653.3560094051</v>
          </cell>
          <cell r="EI6">
            <v>12295.220803695915</v>
          </cell>
          <cell r="EJ6">
            <v>12809.234502326051</v>
          </cell>
          <cell r="EK6">
            <v>3145484.3560094051</v>
          </cell>
          <cell r="EL6">
            <v>2992899</v>
          </cell>
          <cell r="EM6">
            <v>152585.35600940511</v>
          </cell>
          <cell r="EN6">
            <v>5.0982460821232228E-2</v>
          </cell>
          <cell r="EO6">
            <v>152585.35600940511</v>
          </cell>
          <cell r="EP6">
            <v>199265.35600940511</v>
          </cell>
          <cell r="EQ6">
            <v>3140009.3560094051</v>
          </cell>
          <cell r="ER6">
            <v>2739333.3560094051</v>
          </cell>
          <cell r="ES6">
            <v>12508.371488627421</v>
          </cell>
          <cell r="ET6">
            <v>1200456</v>
          </cell>
          <cell r="EU6">
            <v>138</v>
          </cell>
          <cell r="EV6">
            <v>18422.189580363025</v>
          </cell>
          <cell r="EW6">
            <v>81</v>
          </cell>
        </row>
        <row r="7">
          <cell r="A7">
            <v>202</v>
          </cell>
          <cell r="B7" t="str">
            <v>Aiton ES</v>
          </cell>
          <cell r="C7" t="str">
            <v>ES</v>
          </cell>
          <cell r="D7">
            <v>7</v>
          </cell>
          <cell r="E7">
            <v>226</v>
          </cell>
          <cell r="F7">
            <v>0.90700000000000003</v>
          </cell>
          <cell r="G7">
            <v>205</v>
          </cell>
          <cell r="H7">
            <v>195277</v>
          </cell>
          <cell r="I7">
            <v>112569</v>
          </cell>
          <cell r="M7">
            <v>45440</v>
          </cell>
          <cell r="N7">
            <v>67876</v>
          </cell>
          <cell r="S7">
            <v>78183</v>
          </cell>
          <cell r="T7">
            <v>60194</v>
          </cell>
          <cell r="U7">
            <v>50595</v>
          </cell>
          <cell r="V7">
            <v>56285</v>
          </cell>
          <cell r="W7">
            <v>56284.54</v>
          </cell>
          <cell r="X7">
            <v>337707</v>
          </cell>
          <cell r="Z7">
            <v>225138</v>
          </cell>
          <cell r="AB7">
            <v>225138</v>
          </cell>
          <cell r="AC7">
            <v>149952</v>
          </cell>
          <cell r="AD7">
            <v>74976</v>
          </cell>
          <cell r="AE7">
            <v>1125690</v>
          </cell>
          <cell r="AG7">
            <v>112569</v>
          </cell>
          <cell r="AH7">
            <v>112569</v>
          </cell>
          <cell r="AI7">
            <v>675414</v>
          </cell>
          <cell r="AJ7">
            <v>149952</v>
          </cell>
          <cell r="AN7">
            <v>40525</v>
          </cell>
          <cell r="AR7">
            <v>6800</v>
          </cell>
          <cell r="AS7">
            <v>6800</v>
          </cell>
          <cell r="AT7">
            <v>10200</v>
          </cell>
          <cell r="AW7">
            <v>27200</v>
          </cell>
          <cell r="AX7">
            <v>102474.01</v>
          </cell>
          <cell r="AZ7">
            <v>0</v>
          </cell>
          <cell r="BU7">
            <v>55922</v>
          </cell>
          <cell r="BX7">
            <v>75000</v>
          </cell>
          <cell r="BY7">
            <v>8223</v>
          </cell>
          <cell r="BZ7">
            <v>1300</v>
          </cell>
          <cell r="CA7">
            <v>1130</v>
          </cell>
          <cell r="CB7">
            <v>1130</v>
          </cell>
          <cell r="CC7">
            <v>1300</v>
          </cell>
          <cell r="CD7">
            <v>4520</v>
          </cell>
          <cell r="CM7">
            <v>22600</v>
          </cell>
          <cell r="CN7">
            <v>62733</v>
          </cell>
          <cell r="CO7">
            <v>4009</v>
          </cell>
          <cell r="CV7">
            <v>13859</v>
          </cell>
          <cell r="CY7">
            <v>12650</v>
          </cell>
          <cell r="DC7">
            <v>75000</v>
          </cell>
          <cell r="DD7">
            <v>4445183.55</v>
          </cell>
          <cell r="DE7">
            <v>-55869.711470884271</v>
          </cell>
          <cell r="DF7">
            <v>4389313.8385291155</v>
          </cell>
          <cell r="DG7">
            <v>174303.09</v>
          </cell>
          <cell r="DH7">
            <v>87574</v>
          </cell>
          <cell r="DI7">
            <v>4389313.8385291155</v>
          </cell>
          <cell r="DJ7">
            <v>4651190.9285291154</v>
          </cell>
          <cell r="DK7">
            <v>2771054.54</v>
          </cell>
          <cell r="DL7">
            <v>518962</v>
          </cell>
          <cell r="DM7">
            <v>23800</v>
          </cell>
          <cell r="DN7">
            <v>20873</v>
          </cell>
          <cell r="DO7">
            <v>474289</v>
          </cell>
          <cell r="DP7">
            <v>0.91391855280348078</v>
          </cell>
          <cell r="DQ7">
            <v>2499596.54</v>
          </cell>
          <cell r="DR7">
            <v>1050504</v>
          </cell>
          <cell r="DS7">
            <v>40525</v>
          </cell>
          <cell r="DT7">
            <v>204674.01</v>
          </cell>
          <cell r="DU7">
            <v>0</v>
          </cell>
          <cell r="DV7">
            <v>0</v>
          </cell>
          <cell r="DW7">
            <v>0</v>
          </cell>
          <cell r="DX7">
            <v>55922</v>
          </cell>
          <cell r="DY7">
            <v>19130.288529115729</v>
          </cell>
          <cell r="DZ7">
            <v>261877.09</v>
          </cell>
          <cell r="EA7">
            <v>474289</v>
          </cell>
          <cell r="EB7">
            <v>0.91391855280348078</v>
          </cell>
          <cell r="EC7">
            <v>23800</v>
          </cell>
          <cell r="ED7">
            <v>20873</v>
          </cell>
          <cell r="EE7">
            <v>518962</v>
          </cell>
          <cell r="EF7">
            <v>4651191.8424476683</v>
          </cell>
          <cell r="EH7">
            <v>2518726.8285291158</v>
          </cell>
          <cell r="EI7">
            <v>11144.808975792548</v>
          </cell>
          <cell r="EJ7">
            <v>10812.950568712902</v>
          </cell>
          <cell r="EK7">
            <v>4389313.8385291155</v>
          </cell>
          <cell r="EL7">
            <v>4164165</v>
          </cell>
          <cell r="EM7">
            <v>225148.83852911554</v>
          </cell>
          <cell r="EN7">
            <v>5.4068183784531966E-2</v>
          </cell>
          <cell r="EO7">
            <v>225148.83852911554</v>
          </cell>
          <cell r="EP7">
            <v>487025.92852911539</v>
          </cell>
          <cell r="EQ7">
            <v>4184639.8285291158</v>
          </cell>
          <cell r="ER7">
            <v>2780603.9185291156</v>
          </cell>
          <cell r="ES7">
            <v>12303.557161633255</v>
          </cell>
          <cell r="ET7">
            <v>600228</v>
          </cell>
          <cell r="EU7">
            <v>57</v>
          </cell>
          <cell r="EV7">
            <v>11352.064074136779</v>
          </cell>
          <cell r="EW7">
            <v>169</v>
          </cell>
        </row>
        <row r="8">
          <cell r="A8">
            <v>203</v>
          </cell>
          <cell r="B8" t="str">
            <v>Amidon-Bowen ES</v>
          </cell>
          <cell r="C8" t="str">
            <v>ES</v>
          </cell>
          <cell r="D8">
            <v>6</v>
          </cell>
          <cell r="E8">
            <v>335</v>
          </cell>
          <cell r="F8">
            <v>0.63300000000000001</v>
          </cell>
          <cell r="G8">
            <v>212</v>
          </cell>
          <cell r="H8">
            <v>195277</v>
          </cell>
          <cell r="I8">
            <v>112569</v>
          </cell>
          <cell r="J8">
            <v>125223</v>
          </cell>
          <cell r="M8">
            <v>90879</v>
          </cell>
          <cell r="N8">
            <v>67876</v>
          </cell>
          <cell r="S8">
            <v>78183</v>
          </cell>
          <cell r="T8">
            <v>60194</v>
          </cell>
          <cell r="U8">
            <v>101190</v>
          </cell>
          <cell r="V8">
            <v>112569</v>
          </cell>
          <cell r="X8">
            <v>337707</v>
          </cell>
          <cell r="Z8">
            <v>225138</v>
          </cell>
          <cell r="AA8">
            <v>112569</v>
          </cell>
          <cell r="AB8">
            <v>225138</v>
          </cell>
          <cell r="AC8">
            <v>187440</v>
          </cell>
          <cell r="AD8">
            <v>112464</v>
          </cell>
          <cell r="AE8">
            <v>1463397</v>
          </cell>
          <cell r="AG8">
            <v>112569</v>
          </cell>
          <cell r="AH8">
            <v>112569</v>
          </cell>
          <cell r="AI8">
            <v>787983</v>
          </cell>
          <cell r="AJ8">
            <v>74976</v>
          </cell>
          <cell r="AN8">
            <v>40525</v>
          </cell>
          <cell r="AR8">
            <v>20400</v>
          </cell>
          <cell r="AS8">
            <v>20400</v>
          </cell>
          <cell r="AT8">
            <v>10200</v>
          </cell>
          <cell r="AW8">
            <v>54400</v>
          </cell>
          <cell r="AX8">
            <v>151898.74000000002</v>
          </cell>
          <cell r="AZ8">
            <v>0</v>
          </cell>
          <cell r="BE8">
            <v>112569</v>
          </cell>
          <cell r="BU8">
            <v>55922</v>
          </cell>
          <cell r="BY8">
            <v>4243</v>
          </cell>
          <cell r="BZ8">
            <v>1926</v>
          </cell>
          <cell r="CA8">
            <v>1675</v>
          </cell>
          <cell r="CB8">
            <v>1675</v>
          </cell>
          <cell r="CC8">
            <v>1926</v>
          </cell>
          <cell r="CD8">
            <v>6700</v>
          </cell>
          <cell r="CM8">
            <v>33500</v>
          </cell>
          <cell r="CN8">
            <v>74451</v>
          </cell>
          <cell r="CO8">
            <v>5669</v>
          </cell>
          <cell r="CY8">
            <v>25350</v>
          </cell>
          <cell r="DC8">
            <v>0</v>
          </cell>
          <cell r="DD8">
            <v>5319339.74</v>
          </cell>
          <cell r="DE8">
            <v>418.54185911547393</v>
          </cell>
          <cell r="DF8">
            <v>5319758.2818591157</v>
          </cell>
          <cell r="DG8">
            <v>207970.41</v>
          </cell>
          <cell r="DH8">
            <v>229655</v>
          </cell>
          <cell r="DI8">
            <v>5319758.2818591157</v>
          </cell>
          <cell r="DJ8">
            <v>5757383.6918591158</v>
          </cell>
          <cell r="DK8">
            <v>3495768</v>
          </cell>
          <cell r="DL8">
            <v>536682</v>
          </cell>
          <cell r="DM8">
            <v>51000</v>
          </cell>
          <cell r="DN8">
            <v>142162</v>
          </cell>
          <cell r="DO8">
            <v>343520</v>
          </cell>
          <cell r="DP8">
            <v>0.64008109085082043</v>
          </cell>
          <cell r="DQ8">
            <v>3391815</v>
          </cell>
          <cell r="DR8">
            <v>1088097</v>
          </cell>
          <cell r="DS8">
            <v>40525</v>
          </cell>
          <cell r="DT8">
            <v>206298.74000000002</v>
          </cell>
          <cell r="DU8">
            <v>0</v>
          </cell>
          <cell r="DV8">
            <v>0</v>
          </cell>
          <cell r="DW8">
            <v>0</v>
          </cell>
          <cell r="DX8">
            <v>55922</v>
          </cell>
          <cell r="DY8">
            <v>418.54185911547393</v>
          </cell>
          <cell r="DZ8">
            <v>437625.41000000003</v>
          </cell>
          <cell r="EA8">
            <v>343520</v>
          </cell>
          <cell r="EB8">
            <v>0.64008109085082043</v>
          </cell>
          <cell r="EC8">
            <v>51000</v>
          </cell>
          <cell r="ED8">
            <v>142162</v>
          </cell>
          <cell r="EE8">
            <v>536682</v>
          </cell>
          <cell r="EF8">
            <v>5757384.3319402067</v>
          </cell>
          <cell r="EH8">
            <v>3392233.5418591155</v>
          </cell>
          <cell r="EI8">
            <v>10126.070274206315</v>
          </cell>
          <cell r="EJ8">
            <v>10126.070274206315</v>
          </cell>
          <cell r="EK8">
            <v>5319758.2818591157</v>
          </cell>
          <cell r="EL8">
            <v>5250481</v>
          </cell>
          <cell r="EM8">
            <v>69277.281859115697</v>
          </cell>
          <cell r="EN8">
            <v>1.3194463870855965E-2</v>
          </cell>
          <cell r="EO8">
            <v>69277.281859115697</v>
          </cell>
          <cell r="EP8">
            <v>506902.69185911585</v>
          </cell>
          <cell r="EQ8">
            <v>5113459.5418591155</v>
          </cell>
          <cell r="ER8">
            <v>3829858.9518591156</v>
          </cell>
          <cell r="ES8">
            <v>11432.414781669002</v>
          </cell>
          <cell r="ET8">
            <v>750285</v>
          </cell>
          <cell r="EU8">
            <v>72</v>
          </cell>
          <cell r="EV8">
            <v>10045.431718095497</v>
          </cell>
          <cell r="EW8">
            <v>263</v>
          </cell>
        </row>
        <row r="9">
          <cell r="A9">
            <v>204</v>
          </cell>
          <cell r="B9" t="str">
            <v>Bancroft ES</v>
          </cell>
          <cell r="C9" t="str">
            <v>ES</v>
          </cell>
          <cell r="D9">
            <v>1</v>
          </cell>
          <cell r="E9">
            <v>662</v>
          </cell>
          <cell r="F9">
            <v>0.27300000000000002</v>
          </cell>
          <cell r="G9">
            <v>181</v>
          </cell>
          <cell r="H9">
            <v>195277</v>
          </cell>
          <cell r="I9">
            <v>112569</v>
          </cell>
          <cell r="J9">
            <v>266099</v>
          </cell>
          <cell r="M9">
            <v>90879</v>
          </cell>
          <cell r="N9">
            <v>67876</v>
          </cell>
          <cell r="O9">
            <v>86086</v>
          </cell>
          <cell r="S9">
            <v>78183</v>
          </cell>
          <cell r="T9">
            <v>60194</v>
          </cell>
          <cell r="U9">
            <v>202380</v>
          </cell>
          <cell r="V9">
            <v>112569</v>
          </cell>
          <cell r="X9">
            <v>619130</v>
          </cell>
          <cell r="Z9">
            <v>337707</v>
          </cell>
          <cell r="AB9">
            <v>337707</v>
          </cell>
          <cell r="AC9">
            <v>224928</v>
          </cell>
          <cell r="AD9">
            <v>149952</v>
          </cell>
          <cell r="AE9">
            <v>2814225</v>
          </cell>
          <cell r="AG9">
            <v>112569</v>
          </cell>
          <cell r="AH9">
            <v>225138</v>
          </cell>
          <cell r="AI9">
            <v>1125690</v>
          </cell>
          <cell r="AJ9">
            <v>149952</v>
          </cell>
          <cell r="AM9">
            <v>1688535</v>
          </cell>
          <cell r="AP9">
            <v>337707</v>
          </cell>
          <cell r="AR9">
            <v>20400</v>
          </cell>
          <cell r="AS9">
            <v>20400</v>
          </cell>
          <cell r="AT9">
            <v>10200</v>
          </cell>
          <cell r="AW9">
            <v>27200</v>
          </cell>
          <cell r="AX9">
            <v>300172.09000000003</v>
          </cell>
          <cell r="AZ9">
            <v>0</v>
          </cell>
          <cell r="BU9">
            <v>111844</v>
          </cell>
          <cell r="BY9">
            <v>3629</v>
          </cell>
          <cell r="BZ9">
            <v>3807</v>
          </cell>
          <cell r="CA9">
            <v>3310</v>
          </cell>
          <cell r="CB9">
            <v>3310</v>
          </cell>
          <cell r="CC9">
            <v>3807</v>
          </cell>
          <cell r="CD9">
            <v>13240</v>
          </cell>
          <cell r="CM9">
            <v>66200</v>
          </cell>
          <cell r="CN9">
            <v>151265</v>
          </cell>
          <cell r="CO9">
            <v>9493</v>
          </cell>
          <cell r="CY9">
            <v>18150</v>
          </cell>
          <cell r="DC9">
            <v>0</v>
          </cell>
          <cell r="DD9">
            <v>10161779.09</v>
          </cell>
          <cell r="DE9">
            <v>17.693329999223351</v>
          </cell>
          <cell r="DF9">
            <v>10161796.783329999</v>
          </cell>
          <cell r="DG9">
            <v>148057.42000000001</v>
          </cell>
          <cell r="DH9">
            <v>156529</v>
          </cell>
          <cell r="DI9">
            <v>10161796.783329999</v>
          </cell>
          <cell r="DJ9">
            <v>10466383.203329999</v>
          </cell>
          <cell r="DK9">
            <v>5669436</v>
          </cell>
          <cell r="DL9">
            <v>458205</v>
          </cell>
          <cell r="DM9">
            <v>51000</v>
          </cell>
          <cell r="DN9">
            <v>21779</v>
          </cell>
          <cell r="DO9">
            <v>385426</v>
          </cell>
          <cell r="DP9">
            <v>0.84116498074006174</v>
          </cell>
          <cell r="DQ9">
            <v>5624767</v>
          </cell>
          <cell r="DR9">
            <v>1613349</v>
          </cell>
          <cell r="DS9">
            <v>2026242</v>
          </cell>
          <cell r="DT9">
            <v>327372.09000000003</v>
          </cell>
          <cell r="DU9">
            <v>0</v>
          </cell>
          <cell r="DV9">
            <v>0</v>
          </cell>
          <cell r="DW9">
            <v>0</v>
          </cell>
          <cell r="DX9">
            <v>111844</v>
          </cell>
          <cell r="DY9">
            <v>17.693329999223351</v>
          </cell>
          <cell r="DZ9">
            <v>304586.42000000004</v>
          </cell>
          <cell r="EA9">
            <v>385426</v>
          </cell>
          <cell r="EB9">
            <v>0.84116498074006174</v>
          </cell>
          <cell r="EC9">
            <v>51000</v>
          </cell>
          <cell r="ED9">
            <v>21779</v>
          </cell>
          <cell r="EE9">
            <v>458205</v>
          </cell>
          <cell r="EF9">
            <v>10466384.044494979</v>
          </cell>
          <cell r="EH9">
            <v>5624784.6933299992</v>
          </cell>
          <cell r="EI9">
            <v>8496.6536153021134</v>
          </cell>
          <cell r="EJ9">
            <v>8496.6536153021134</v>
          </cell>
          <cell r="EK9">
            <v>10161796.783329999</v>
          </cell>
          <cell r="EL9">
            <v>9936070</v>
          </cell>
          <cell r="EM9">
            <v>225726.78332999907</v>
          </cell>
          <cell r="EN9">
            <v>2.2717913956926537E-2</v>
          </cell>
          <cell r="EO9">
            <v>225726.78332999907</v>
          </cell>
          <cell r="EP9">
            <v>530313.203329999</v>
          </cell>
          <cell r="EQ9">
            <v>9834424.6933299992</v>
          </cell>
          <cell r="ER9">
            <v>5929371.1133299991</v>
          </cell>
          <cell r="ES9">
            <v>8956.7539476283982</v>
          </cell>
          <cell r="ET9">
            <v>900342</v>
          </cell>
          <cell r="EU9">
            <v>102</v>
          </cell>
          <cell r="EV9">
            <v>8436.5048095178554</v>
          </cell>
          <cell r="EW9">
            <v>560</v>
          </cell>
        </row>
        <row r="10">
          <cell r="A10">
            <v>205</v>
          </cell>
          <cell r="B10" t="str">
            <v>Barnard ES</v>
          </cell>
          <cell r="C10" t="str">
            <v>ES</v>
          </cell>
          <cell r="D10">
            <v>4</v>
          </cell>
          <cell r="E10">
            <v>640</v>
          </cell>
          <cell r="F10">
            <v>0.44500000000000001</v>
          </cell>
          <cell r="G10">
            <v>285</v>
          </cell>
          <cell r="H10">
            <v>195277</v>
          </cell>
          <cell r="I10">
            <v>112569</v>
          </cell>
          <cell r="J10">
            <v>250446</v>
          </cell>
          <cell r="M10">
            <v>90879</v>
          </cell>
          <cell r="N10">
            <v>67876</v>
          </cell>
          <cell r="O10">
            <v>81022</v>
          </cell>
          <cell r="S10">
            <v>78183</v>
          </cell>
          <cell r="T10">
            <v>60194</v>
          </cell>
          <cell r="U10">
            <v>151785</v>
          </cell>
          <cell r="V10">
            <v>112569</v>
          </cell>
          <cell r="X10">
            <v>619130</v>
          </cell>
          <cell r="Z10">
            <v>450276</v>
          </cell>
          <cell r="AB10">
            <v>450276</v>
          </cell>
          <cell r="AC10">
            <v>299904</v>
          </cell>
          <cell r="AD10">
            <v>149952</v>
          </cell>
          <cell r="AE10">
            <v>2589087</v>
          </cell>
          <cell r="AG10">
            <v>112569</v>
          </cell>
          <cell r="AH10">
            <v>225138</v>
          </cell>
          <cell r="AI10">
            <v>900552</v>
          </cell>
          <cell r="AJ10">
            <v>224928</v>
          </cell>
          <cell r="AM10">
            <v>1575966</v>
          </cell>
          <cell r="AP10">
            <v>337707</v>
          </cell>
          <cell r="AR10">
            <v>68000</v>
          </cell>
          <cell r="AS10">
            <v>68000</v>
          </cell>
          <cell r="AT10">
            <v>10200</v>
          </cell>
          <cell r="AW10">
            <v>149600</v>
          </cell>
          <cell r="AX10">
            <v>290196.18</v>
          </cell>
          <cell r="AZ10">
            <v>0</v>
          </cell>
          <cell r="BU10">
            <v>111844</v>
          </cell>
          <cell r="BY10">
            <v>5701</v>
          </cell>
          <cell r="BZ10">
            <v>3680</v>
          </cell>
          <cell r="CA10">
            <v>3200</v>
          </cell>
          <cell r="CB10">
            <v>3200</v>
          </cell>
          <cell r="CC10">
            <v>3680</v>
          </cell>
          <cell r="CD10">
            <v>12800</v>
          </cell>
          <cell r="CM10">
            <v>64000</v>
          </cell>
          <cell r="CN10">
            <v>147094</v>
          </cell>
          <cell r="CO10">
            <v>6572</v>
          </cell>
          <cell r="CY10">
            <v>22275</v>
          </cell>
          <cell r="DC10">
            <v>0</v>
          </cell>
          <cell r="DD10">
            <v>10106327.18</v>
          </cell>
          <cell r="DE10">
            <v>16.316670000553131</v>
          </cell>
          <cell r="DF10">
            <v>10106343.49667</v>
          </cell>
          <cell r="DG10">
            <v>122274.11</v>
          </cell>
          <cell r="DH10">
            <v>0</v>
          </cell>
          <cell r="DI10">
            <v>10106343.49667</v>
          </cell>
          <cell r="DJ10">
            <v>10228617.60667</v>
          </cell>
          <cell r="DK10">
            <v>5713489</v>
          </cell>
          <cell r="DL10">
            <v>721483.46</v>
          </cell>
          <cell r="DM10">
            <v>146200</v>
          </cell>
          <cell r="DN10">
            <v>27976</v>
          </cell>
          <cell r="DO10">
            <v>547307.46</v>
          </cell>
          <cell r="DP10">
            <v>0.75858628831213959</v>
          </cell>
          <cell r="DQ10">
            <v>5456343.54</v>
          </cell>
          <cell r="DR10">
            <v>1463187</v>
          </cell>
          <cell r="DS10">
            <v>1913673</v>
          </cell>
          <cell r="DT10">
            <v>439796.18</v>
          </cell>
          <cell r="DU10">
            <v>0</v>
          </cell>
          <cell r="DV10">
            <v>0</v>
          </cell>
          <cell r="DW10">
            <v>0</v>
          </cell>
          <cell r="DX10">
            <v>111844</v>
          </cell>
          <cell r="DY10">
            <v>16.316670000553131</v>
          </cell>
          <cell r="DZ10">
            <v>122274.11</v>
          </cell>
          <cell r="EA10">
            <v>547307.46</v>
          </cell>
          <cell r="EB10">
            <v>0.75858628831213959</v>
          </cell>
          <cell r="EC10">
            <v>146200</v>
          </cell>
          <cell r="ED10">
            <v>27976</v>
          </cell>
          <cell r="EE10">
            <v>721483.46</v>
          </cell>
          <cell r="EF10">
            <v>10228618.365256287</v>
          </cell>
          <cell r="EH10">
            <v>5456359.8566700006</v>
          </cell>
          <cell r="EI10">
            <v>8525.5622760468759</v>
          </cell>
          <cell r="EJ10">
            <v>8525.5622760468759</v>
          </cell>
          <cell r="EK10">
            <v>10106343.49667</v>
          </cell>
          <cell r="EL10">
            <v>10057553</v>
          </cell>
          <cell r="EM10">
            <v>48790.496670000255</v>
          </cell>
          <cell r="EN10">
            <v>4.8511299587484409E-3</v>
          </cell>
          <cell r="EO10">
            <v>48790.496670000255</v>
          </cell>
          <cell r="EP10">
            <v>171064.60666999966</v>
          </cell>
          <cell r="EQ10">
            <v>9666547.3166700006</v>
          </cell>
          <cell r="ER10">
            <v>5578633.9666700009</v>
          </cell>
          <cell r="ES10">
            <v>8716.6155729218772</v>
          </cell>
          <cell r="ET10">
            <v>1200456</v>
          </cell>
          <cell r="EU10">
            <v>137</v>
          </cell>
          <cell r="EV10">
            <v>8461.0414645526853</v>
          </cell>
          <cell r="EW10">
            <v>503</v>
          </cell>
        </row>
        <row r="11">
          <cell r="A11">
            <v>206</v>
          </cell>
          <cell r="B11" t="str">
            <v>Beers ES</v>
          </cell>
          <cell r="C11" t="str">
            <v>ES</v>
          </cell>
          <cell r="D11">
            <v>7</v>
          </cell>
          <cell r="E11">
            <v>456</v>
          </cell>
          <cell r="F11">
            <v>0.53500000000000003</v>
          </cell>
          <cell r="G11">
            <v>244</v>
          </cell>
          <cell r="H11">
            <v>195277</v>
          </cell>
          <cell r="I11">
            <v>112569</v>
          </cell>
          <cell r="J11">
            <v>172182</v>
          </cell>
          <cell r="M11">
            <v>90879</v>
          </cell>
          <cell r="N11">
            <v>67876</v>
          </cell>
          <cell r="O11">
            <v>55703</v>
          </cell>
          <cell r="S11">
            <v>78183</v>
          </cell>
          <cell r="T11">
            <v>60194</v>
          </cell>
          <cell r="U11">
            <v>101190</v>
          </cell>
          <cell r="V11">
            <v>112569</v>
          </cell>
          <cell r="X11">
            <v>506561</v>
          </cell>
          <cell r="Z11">
            <v>225138</v>
          </cell>
          <cell r="AA11">
            <v>112569</v>
          </cell>
          <cell r="AB11">
            <v>225138</v>
          </cell>
          <cell r="AC11">
            <v>187440</v>
          </cell>
          <cell r="AD11">
            <v>112464</v>
          </cell>
          <cell r="AE11">
            <v>2138811</v>
          </cell>
          <cell r="AG11">
            <v>112569</v>
          </cell>
          <cell r="AH11">
            <v>225138</v>
          </cell>
          <cell r="AI11">
            <v>1125690</v>
          </cell>
          <cell r="AJ11">
            <v>449856</v>
          </cell>
          <cell r="AL11">
            <v>117087</v>
          </cell>
          <cell r="AN11">
            <v>5628</v>
          </cell>
          <cell r="AR11">
            <v>27200</v>
          </cell>
          <cell r="AS11">
            <v>27200</v>
          </cell>
          <cell r="AW11">
            <v>68000</v>
          </cell>
          <cell r="AX11">
            <v>206764.29000000004</v>
          </cell>
          <cell r="AZ11">
            <v>0</v>
          </cell>
          <cell r="BU11">
            <v>55922</v>
          </cell>
          <cell r="BY11">
            <v>4884</v>
          </cell>
          <cell r="BZ11">
            <v>2622</v>
          </cell>
          <cell r="CA11">
            <v>2280</v>
          </cell>
          <cell r="CB11">
            <v>2280</v>
          </cell>
          <cell r="CC11">
            <v>2622</v>
          </cell>
          <cell r="CD11">
            <v>9120</v>
          </cell>
          <cell r="CM11">
            <v>45600</v>
          </cell>
          <cell r="CN11">
            <v>106102</v>
          </cell>
          <cell r="CO11">
            <v>6170</v>
          </cell>
          <cell r="CV11">
            <v>13859</v>
          </cell>
          <cell r="CY11">
            <v>31525</v>
          </cell>
          <cell r="DC11">
            <v>10200</v>
          </cell>
          <cell r="DD11">
            <v>7213061.29</v>
          </cell>
          <cell r="DE11">
            <v>-500.3739908952266</v>
          </cell>
          <cell r="DF11">
            <v>7212560.9160091048</v>
          </cell>
          <cell r="DG11">
            <v>232342.93</v>
          </cell>
          <cell r="DH11">
            <v>296221</v>
          </cell>
          <cell r="DI11">
            <v>7212560.9160091048</v>
          </cell>
          <cell r="DJ11">
            <v>7741124.8460091045</v>
          </cell>
          <cell r="DK11">
            <v>4491972</v>
          </cell>
          <cell r="DL11">
            <v>617691</v>
          </cell>
          <cell r="DM11">
            <v>54400</v>
          </cell>
          <cell r="DN11">
            <v>36409</v>
          </cell>
          <cell r="DO11">
            <v>526882</v>
          </cell>
          <cell r="DP11">
            <v>0.85298636373202785</v>
          </cell>
          <cell r="DQ11">
            <v>4218516</v>
          </cell>
          <cell r="DR11">
            <v>2030340</v>
          </cell>
          <cell r="DS11">
            <v>5628</v>
          </cell>
          <cell r="DT11">
            <v>274764.29000000004</v>
          </cell>
          <cell r="DU11">
            <v>0</v>
          </cell>
          <cell r="DV11">
            <v>0</v>
          </cell>
          <cell r="DW11">
            <v>0</v>
          </cell>
          <cell r="DX11">
            <v>55922</v>
          </cell>
          <cell r="DY11">
            <v>9699.6260091047734</v>
          </cell>
          <cell r="DZ11">
            <v>528563.92999999993</v>
          </cell>
          <cell r="EA11">
            <v>526882</v>
          </cell>
          <cell r="EB11">
            <v>0.85298636373202785</v>
          </cell>
          <cell r="EC11">
            <v>54400</v>
          </cell>
          <cell r="ED11">
            <v>36409</v>
          </cell>
          <cell r="EE11">
            <v>617691</v>
          </cell>
          <cell r="EF11">
            <v>7741125.6989954682</v>
          </cell>
          <cell r="EH11">
            <v>4228215.6260091048</v>
          </cell>
          <cell r="EI11">
            <v>9272.4026886164575</v>
          </cell>
          <cell r="EJ11">
            <v>9250.0342675638258</v>
          </cell>
          <cell r="EK11">
            <v>7212560.9160091048</v>
          </cell>
          <cell r="EL11">
            <v>6866910</v>
          </cell>
          <cell r="EM11">
            <v>345650.91600910481</v>
          </cell>
          <cell r="EN11">
            <v>5.0335728298332848E-2</v>
          </cell>
          <cell r="EO11">
            <v>345650.91600910481</v>
          </cell>
          <cell r="EP11">
            <v>874214.84600910451</v>
          </cell>
          <cell r="EQ11">
            <v>6937796.6260091048</v>
          </cell>
          <cell r="ER11">
            <v>4756779.5560091045</v>
          </cell>
          <cell r="ES11">
            <v>10431.534114055054</v>
          </cell>
          <cell r="ET11">
            <v>750285</v>
          </cell>
          <cell r="EU11">
            <v>83</v>
          </cell>
          <cell r="EV11">
            <v>9324.2107935900931</v>
          </cell>
          <cell r="EW11">
            <v>373</v>
          </cell>
        </row>
        <row r="12">
          <cell r="A12">
            <v>291</v>
          </cell>
          <cell r="B12" t="str">
            <v>Boone ES</v>
          </cell>
          <cell r="C12" t="str">
            <v>ES</v>
          </cell>
          <cell r="D12">
            <v>8</v>
          </cell>
          <cell r="E12">
            <v>434</v>
          </cell>
          <cell r="F12">
            <v>0.69799999999999995</v>
          </cell>
          <cell r="G12">
            <v>303</v>
          </cell>
          <cell r="H12">
            <v>195277</v>
          </cell>
          <cell r="I12">
            <v>112569</v>
          </cell>
          <cell r="J12">
            <v>172182</v>
          </cell>
          <cell r="M12">
            <v>90879</v>
          </cell>
          <cell r="N12">
            <v>67876</v>
          </cell>
          <cell r="O12">
            <v>55703</v>
          </cell>
          <cell r="S12">
            <v>78183</v>
          </cell>
          <cell r="T12">
            <v>60194</v>
          </cell>
          <cell r="U12">
            <v>101190</v>
          </cell>
          <cell r="V12">
            <v>112569</v>
          </cell>
          <cell r="X12">
            <v>506561</v>
          </cell>
          <cell r="Z12">
            <v>337707</v>
          </cell>
          <cell r="AB12">
            <v>337707</v>
          </cell>
          <cell r="AC12">
            <v>224928</v>
          </cell>
          <cell r="AD12">
            <v>112464</v>
          </cell>
          <cell r="AE12">
            <v>1913673</v>
          </cell>
          <cell r="AG12">
            <v>112569</v>
          </cell>
          <cell r="AH12">
            <v>225138</v>
          </cell>
          <cell r="AI12">
            <v>675414</v>
          </cell>
          <cell r="AJ12">
            <v>224928</v>
          </cell>
          <cell r="AN12">
            <v>10131</v>
          </cell>
          <cell r="AR12">
            <v>13600</v>
          </cell>
          <cell r="AS12">
            <v>13600</v>
          </cell>
          <cell r="AT12">
            <v>10200</v>
          </cell>
          <cell r="AW12">
            <v>40800</v>
          </cell>
          <cell r="AX12">
            <v>196790.53</v>
          </cell>
          <cell r="AZ12">
            <v>0</v>
          </cell>
          <cell r="BU12">
            <v>111844</v>
          </cell>
          <cell r="BY12">
            <v>6056</v>
          </cell>
          <cell r="BZ12">
            <v>2496</v>
          </cell>
          <cell r="CA12">
            <v>2170</v>
          </cell>
          <cell r="CB12">
            <v>2170</v>
          </cell>
          <cell r="CC12">
            <v>2496</v>
          </cell>
          <cell r="CD12">
            <v>8680</v>
          </cell>
          <cell r="CM12">
            <v>43400</v>
          </cell>
          <cell r="CN12">
            <v>92220</v>
          </cell>
          <cell r="CO12">
            <v>5804</v>
          </cell>
          <cell r="CY12">
            <v>28600</v>
          </cell>
          <cell r="DB12">
            <v>112569</v>
          </cell>
          <cell r="DC12">
            <v>112569</v>
          </cell>
          <cell r="DD12">
            <v>6533906.5300000003</v>
          </cell>
          <cell r="DE12">
            <v>110.0021347803995</v>
          </cell>
          <cell r="DF12">
            <v>6534016.5321347807</v>
          </cell>
          <cell r="DG12">
            <v>319848.02</v>
          </cell>
          <cell r="DH12">
            <v>360476</v>
          </cell>
          <cell r="DI12">
            <v>6534016.5321347807</v>
          </cell>
          <cell r="DJ12">
            <v>7214340.5521347802</v>
          </cell>
          <cell r="DK12">
            <v>4399531</v>
          </cell>
          <cell r="DL12">
            <v>767050.86</v>
          </cell>
          <cell r="DM12">
            <v>37400</v>
          </cell>
          <cell r="DN12">
            <v>34656</v>
          </cell>
          <cell r="DO12">
            <v>694994.86</v>
          </cell>
          <cell r="DP12">
            <v>0.90606098792458167</v>
          </cell>
          <cell r="DQ12">
            <v>4056672.14</v>
          </cell>
          <cell r="DR12">
            <v>1238049</v>
          </cell>
          <cell r="DS12">
            <v>10131</v>
          </cell>
          <cell r="DT12">
            <v>237590.53</v>
          </cell>
          <cell r="DU12">
            <v>0</v>
          </cell>
          <cell r="DV12">
            <v>0</v>
          </cell>
          <cell r="DW12">
            <v>0</v>
          </cell>
          <cell r="DX12">
            <v>111844</v>
          </cell>
          <cell r="DY12">
            <v>112679.0021347804</v>
          </cell>
          <cell r="DZ12">
            <v>680324.02</v>
          </cell>
          <cell r="EA12">
            <v>694994.86</v>
          </cell>
          <cell r="EB12">
            <v>0.90606098792458167</v>
          </cell>
          <cell r="EC12">
            <v>37400</v>
          </cell>
          <cell r="ED12">
            <v>34656</v>
          </cell>
          <cell r="EE12">
            <v>767050.86</v>
          </cell>
          <cell r="EF12">
            <v>7214341.4581957692</v>
          </cell>
          <cell r="EH12">
            <v>4169351.1421347805</v>
          </cell>
          <cell r="EI12">
            <v>9606.7998666700005</v>
          </cell>
          <cell r="EJ12">
            <v>9088.0487145962688</v>
          </cell>
          <cell r="EK12">
            <v>6534016.5321347807</v>
          </cell>
          <cell r="EL12">
            <v>6362044</v>
          </cell>
          <cell r="EM12">
            <v>171972.53213478066</v>
          </cell>
          <cell r="EN12">
            <v>2.7031018983015624E-2</v>
          </cell>
          <cell r="EO12">
            <v>171972.53213478066</v>
          </cell>
          <cell r="EP12">
            <v>852296.55213478021</v>
          </cell>
          <cell r="EQ12">
            <v>6296426.0021347804</v>
          </cell>
          <cell r="ER12">
            <v>4849675.1621347805</v>
          </cell>
          <cell r="ES12">
            <v>11174.366733029448</v>
          </cell>
          <cell r="ET12">
            <v>900342</v>
          </cell>
          <cell r="EU12">
            <v>99</v>
          </cell>
          <cell r="EV12">
            <v>9758.2362451784502</v>
          </cell>
          <cell r="EW12">
            <v>335</v>
          </cell>
        </row>
        <row r="13">
          <cell r="A13">
            <v>212</v>
          </cell>
          <cell r="B13" t="str">
            <v>Brent ES</v>
          </cell>
          <cell r="C13" t="str">
            <v>ES</v>
          </cell>
          <cell r="D13">
            <v>6</v>
          </cell>
          <cell r="E13">
            <v>446</v>
          </cell>
          <cell r="F13">
            <v>5.8000000000000003E-2</v>
          </cell>
          <cell r="G13">
            <v>26</v>
          </cell>
          <cell r="H13">
            <v>195277</v>
          </cell>
          <cell r="I13">
            <v>112569</v>
          </cell>
          <cell r="J13">
            <v>172182</v>
          </cell>
          <cell r="M13">
            <v>90879</v>
          </cell>
          <cell r="N13">
            <v>67876</v>
          </cell>
          <cell r="O13">
            <v>55703</v>
          </cell>
          <cell r="S13">
            <v>78183</v>
          </cell>
          <cell r="T13">
            <v>60194</v>
          </cell>
          <cell r="U13">
            <v>101190</v>
          </cell>
          <cell r="V13">
            <v>112569</v>
          </cell>
          <cell r="X13">
            <v>506561</v>
          </cell>
          <cell r="AA13">
            <v>450276</v>
          </cell>
          <cell r="AC13">
            <v>149952</v>
          </cell>
          <cell r="AD13">
            <v>112464</v>
          </cell>
          <cell r="AE13">
            <v>2026242</v>
          </cell>
          <cell r="AG13">
            <v>112569</v>
          </cell>
          <cell r="AH13">
            <v>112569</v>
          </cell>
          <cell r="AI13">
            <v>450276</v>
          </cell>
          <cell r="AM13">
            <v>112569</v>
          </cell>
          <cell r="AW13">
            <v>0</v>
          </cell>
          <cell r="AX13">
            <v>0</v>
          </cell>
          <cell r="AY13">
            <v>11150</v>
          </cell>
          <cell r="AZ13">
            <v>0</v>
          </cell>
          <cell r="BU13">
            <v>55922</v>
          </cell>
          <cell r="BZ13">
            <v>2565</v>
          </cell>
          <cell r="CA13">
            <v>2230</v>
          </cell>
          <cell r="CB13">
            <v>2230</v>
          </cell>
          <cell r="CC13">
            <v>2565</v>
          </cell>
          <cell r="CD13">
            <v>8920</v>
          </cell>
          <cell r="CM13">
            <v>44600</v>
          </cell>
          <cell r="CN13">
            <v>81790</v>
          </cell>
          <cell r="CO13">
            <v>5169</v>
          </cell>
          <cell r="CY13">
            <v>2800</v>
          </cell>
          <cell r="DC13">
            <v>0</v>
          </cell>
          <cell r="DD13">
            <v>5300041</v>
          </cell>
          <cell r="DE13">
            <v>6.5266699995845556</v>
          </cell>
          <cell r="DF13">
            <v>5300047.5266699996</v>
          </cell>
          <cell r="DG13">
            <v>47319.33</v>
          </cell>
          <cell r="DH13">
            <v>56854</v>
          </cell>
          <cell r="DI13">
            <v>5300047.5266699996</v>
          </cell>
          <cell r="DJ13">
            <v>5404220.8566699997</v>
          </cell>
          <cell r="DK13">
            <v>4202619</v>
          </cell>
          <cell r="DL13">
            <v>65820</v>
          </cell>
          <cell r="DM13">
            <v>0</v>
          </cell>
          <cell r="DN13">
            <v>2800</v>
          </cell>
          <cell r="DO13">
            <v>63020</v>
          </cell>
          <cell r="DP13">
            <v>0.95745973868125189</v>
          </cell>
          <cell r="DQ13">
            <v>4379166</v>
          </cell>
          <cell r="DR13">
            <v>675414</v>
          </cell>
          <cell r="DS13">
            <v>112569</v>
          </cell>
          <cell r="DT13">
            <v>11150</v>
          </cell>
          <cell r="DU13">
            <v>0</v>
          </cell>
          <cell r="DV13">
            <v>0</v>
          </cell>
          <cell r="DW13">
            <v>0</v>
          </cell>
          <cell r="DX13">
            <v>55922</v>
          </cell>
          <cell r="DY13">
            <v>6.5266699995845556</v>
          </cell>
          <cell r="DZ13">
            <v>104173.33</v>
          </cell>
          <cell r="EA13">
            <v>63020</v>
          </cell>
          <cell r="EB13">
            <v>0.95745973868125189</v>
          </cell>
          <cell r="EC13">
            <v>0</v>
          </cell>
          <cell r="ED13">
            <v>2800</v>
          </cell>
          <cell r="EE13">
            <v>65820</v>
          </cell>
          <cell r="EF13">
            <v>5404221.8141297381</v>
          </cell>
          <cell r="EH13">
            <v>4379172.5266699996</v>
          </cell>
          <cell r="EI13">
            <v>9818.7724813228688</v>
          </cell>
          <cell r="EJ13">
            <v>9818.7724813228688</v>
          </cell>
          <cell r="EK13">
            <v>5300047.5266699996</v>
          </cell>
          <cell r="EL13">
            <v>5128624</v>
          </cell>
          <cell r="EM13">
            <v>171423.52666999958</v>
          </cell>
          <cell r="EN13">
            <v>3.342485755828456E-2</v>
          </cell>
          <cell r="EO13">
            <v>171423.52666999958</v>
          </cell>
          <cell r="EP13">
            <v>275596.85666999966</v>
          </cell>
          <cell r="EQ13">
            <v>5288897.5266699996</v>
          </cell>
          <cell r="ER13">
            <v>4483345.8566699997</v>
          </cell>
          <cell r="ES13">
            <v>10052.344970112106</v>
          </cell>
          <cell r="ET13">
            <v>600228</v>
          </cell>
          <cell r="EU13">
            <v>64</v>
          </cell>
          <cell r="EV13">
            <v>9892.524938926701</v>
          </cell>
          <cell r="EW13">
            <v>382</v>
          </cell>
        </row>
        <row r="14">
          <cell r="A14">
            <v>296</v>
          </cell>
          <cell r="B14" t="str">
            <v>Bruce-Monroe ES @ Park View</v>
          </cell>
          <cell r="C14" t="str">
            <v>ES</v>
          </cell>
          <cell r="D14">
            <v>1</v>
          </cell>
          <cell r="E14">
            <v>485</v>
          </cell>
          <cell r="F14">
            <v>0.373</v>
          </cell>
          <cell r="G14">
            <v>181</v>
          </cell>
          <cell r="H14">
            <v>195277</v>
          </cell>
          <cell r="I14">
            <v>112569</v>
          </cell>
          <cell r="J14">
            <v>187835</v>
          </cell>
          <cell r="M14">
            <v>90879</v>
          </cell>
          <cell r="N14">
            <v>67876</v>
          </cell>
          <cell r="O14">
            <v>60767</v>
          </cell>
          <cell r="S14">
            <v>78183</v>
          </cell>
          <cell r="T14">
            <v>60194</v>
          </cell>
          <cell r="U14">
            <v>151785</v>
          </cell>
          <cell r="V14">
            <v>112569</v>
          </cell>
          <cell r="X14">
            <v>506561</v>
          </cell>
          <cell r="AA14">
            <v>675414</v>
          </cell>
          <cell r="AC14">
            <v>224928</v>
          </cell>
          <cell r="AD14">
            <v>112464</v>
          </cell>
          <cell r="AE14">
            <v>2026242</v>
          </cell>
          <cell r="AG14">
            <v>112569</v>
          </cell>
          <cell r="AH14">
            <v>225138</v>
          </cell>
          <cell r="AI14">
            <v>450276</v>
          </cell>
          <cell r="AM14">
            <v>1463397</v>
          </cell>
          <cell r="AP14">
            <v>337707</v>
          </cell>
          <cell r="AW14">
            <v>0</v>
          </cell>
          <cell r="AX14">
            <v>219914.80000000002</v>
          </cell>
          <cell r="AZ14">
            <v>0</v>
          </cell>
          <cell r="BU14">
            <v>55922</v>
          </cell>
          <cell r="BY14">
            <v>3625</v>
          </cell>
          <cell r="BZ14">
            <v>2789</v>
          </cell>
          <cell r="CA14">
            <v>2425</v>
          </cell>
          <cell r="CB14">
            <v>2425</v>
          </cell>
          <cell r="CC14">
            <v>2789</v>
          </cell>
          <cell r="CD14">
            <v>9700</v>
          </cell>
          <cell r="CM14">
            <v>48500</v>
          </cell>
          <cell r="CN14">
            <v>116768</v>
          </cell>
          <cell r="CO14">
            <v>7964</v>
          </cell>
          <cell r="CY14">
            <v>14025</v>
          </cell>
          <cell r="DB14">
            <v>112569</v>
          </cell>
          <cell r="DC14">
            <v>112569</v>
          </cell>
          <cell r="DD14">
            <v>7964614.7999999998</v>
          </cell>
          <cell r="DE14">
            <v>12.320000000298023</v>
          </cell>
          <cell r="DF14">
            <v>7964627.1200000001</v>
          </cell>
          <cell r="DG14">
            <v>172190.62</v>
          </cell>
          <cell r="DH14">
            <v>37488</v>
          </cell>
          <cell r="DI14">
            <v>7964627.1200000001</v>
          </cell>
          <cell r="DJ14">
            <v>8174305.7400000002</v>
          </cell>
          <cell r="DK14">
            <v>4566741</v>
          </cell>
          <cell r="DL14">
            <v>458205</v>
          </cell>
          <cell r="DM14">
            <v>0</v>
          </cell>
          <cell r="DN14">
            <v>17650</v>
          </cell>
          <cell r="DO14">
            <v>440555</v>
          </cell>
          <cell r="DP14">
            <v>0.96148012352549628</v>
          </cell>
          <cell r="DQ14">
            <v>4528917</v>
          </cell>
          <cell r="DR14">
            <v>787983</v>
          </cell>
          <cell r="DS14">
            <v>1801104</v>
          </cell>
          <cell r="DT14">
            <v>219914.80000000002</v>
          </cell>
          <cell r="DU14">
            <v>0</v>
          </cell>
          <cell r="DV14">
            <v>0</v>
          </cell>
          <cell r="DW14">
            <v>0</v>
          </cell>
          <cell r="DX14">
            <v>55922</v>
          </cell>
          <cell r="DY14">
            <v>112581.3200000003</v>
          </cell>
          <cell r="DZ14">
            <v>209678.62</v>
          </cell>
          <cell r="EA14">
            <v>440555</v>
          </cell>
          <cell r="EB14">
            <v>0.96148012352549628</v>
          </cell>
          <cell r="EC14">
            <v>0</v>
          </cell>
          <cell r="ED14">
            <v>17650</v>
          </cell>
          <cell r="EE14">
            <v>458205</v>
          </cell>
          <cell r="EF14">
            <v>8174306.7014801241</v>
          </cell>
          <cell r="EH14">
            <v>4641498.32</v>
          </cell>
          <cell r="EI14">
            <v>9570.0996288659808</v>
          </cell>
          <cell r="EJ14">
            <v>9105.89756701031</v>
          </cell>
          <cell r="EK14">
            <v>7964627.1200000001</v>
          </cell>
          <cell r="EL14">
            <v>7763659</v>
          </cell>
          <cell r="EM14">
            <v>200968.12000000011</v>
          </cell>
          <cell r="EN14">
            <v>2.5885747944364906E-2</v>
          </cell>
          <cell r="EO14">
            <v>200968.12000000011</v>
          </cell>
          <cell r="EP14">
            <v>410646.74000000022</v>
          </cell>
          <cell r="EQ14">
            <v>7744712.3200000003</v>
          </cell>
          <cell r="ER14">
            <v>4851176.9400000004</v>
          </cell>
          <cell r="ES14">
            <v>10002.426680412373</v>
          </cell>
          <cell r="ET14">
            <v>900342</v>
          </cell>
          <cell r="EU14">
            <v>98</v>
          </cell>
          <cell r="EV14">
            <v>9667.0705943152461</v>
          </cell>
          <cell r="EW14">
            <v>387</v>
          </cell>
        </row>
        <row r="15">
          <cell r="A15">
            <v>219</v>
          </cell>
          <cell r="B15" t="str">
            <v>Bunker Hill ES</v>
          </cell>
          <cell r="C15" t="str">
            <v>ES</v>
          </cell>
          <cell r="D15">
            <v>5</v>
          </cell>
          <cell r="E15">
            <v>231</v>
          </cell>
          <cell r="F15">
            <v>0.44600000000000001</v>
          </cell>
          <cell r="G15">
            <v>103</v>
          </cell>
          <cell r="H15">
            <v>195277</v>
          </cell>
          <cell r="I15">
            <v>112569</v>
          </cell>
          <cell r="M15">
            <v>45440</v>
          </cell>
          <cell r="N15">
            <v>67876</v>
          </cell>
          <cell r="S15">
            <v>78183</v>
          </cell>
          <cell r="T15">
            <v>60194</v>
          </cell>
          <cell r="U15">
            <v>50595</v>
          </cell>
          <cell r="V15">
            <v>56285</v>
          </cell>
          <cell r="W15">
            <v>112569.07</v>
          </cell>
          <cell r="X15">
            <v>337707</v>
          </cell>
          <cell r="Z15">
            <v>225138</v>
          </cell>
          <cell r="AB15">
            <v>337707</v>
          </cell>
          <cell r="AC15">
            <v>187440</v>
          </cell>
          <cell r="AD15">
            <v>74976</v>
          </cell>
          <cell r="AE15">
            <v>900552</v>
          </cell>
          <cell r="AG15">
            <v>112569</v>
          </cell>
          <cell r="AH15">
            <v>112569</v>
          </cell>
          <cell r="AI15">
            <v>675414</v>
          </cell>
          <cell r="AJ15">
            <v>224928</v>
          </cell>
          <cell r="AM15">
            <v>112569</v>
          </cell>
          <cell r="AR15">
            <v>6800</v>
          </cell>
          <cell r="AS15">
            <v>6800</v>
          </cell>
          <cell r="AT15">
            <v>10200</v>
          </cell>
          <cell r="AW15">
            <v>27200</v>
          </cell>
          <cell r="AX15">
            <v>104743.91</v>
          </cell>
          <cell r="AZ15">
            <v>0</v>
          </cell>
          <cell r="BU15">
            <v>55922</v>
          </cell>
          <cell r="BY15">
            <v>2051</v>
          </cell>
          <cell r="BZ15">
            <v>1328</v>
          </cell>
          <cell r="CA15">
            <v>1155</v>
          </cell>
          <cell r="CB15">
            <v>1155</v>
          </cell>
          <cell r="CC15">
            <v>1328</v>
          </cell>
          <cell r="CD15">
            <v>4620</v>
          </cell>
          <cell r="CM15">
            <v>23100</v>
          </cell>
          <cell r="CN15">
            <v>63885</v>
          </cell>
          <cell r="CO15">
            <v>3779</v>
          </cell>
          <cell r="CY15">
            <v>10450</v>
          </cell>
          <cell r="DC15">
            <v>116130</v>
          </cell>
          <cell r="DD15">
            <v>4521203.9800000004</v>
          </cell>
          <cell r="DE15">
            <v>-112563.51666700095</v>
          </cell>
          <cell r="DF15">
            <v>4408640.4633329995</v>
          </cell>
          <cell r="DG15">
            <v>61235.65</v>
          </cell>
          <cell r="DH15">
            <v>225138</v>
          </cell>
          <cell r="DI15">
            <v>4408640.4633329995</v>
          </cell>
          <cell r="DJ15">
            <v>4695014.1133329999</v>
          </cell>
          <cell r="DK15">
            <v>2753886.0700000003</v>
          </cell>
          <cell r="DL15">
            <v>260747</v>
          </cell>
          <cell r="DM15">
            <v>23800</v>
          </cell>
          <cell r="DN15">
            <v>12501</v>
          </cell>
          <cell r="DO15">
            <v>224446</v>
          </cell>
          <cell r="DP15">
            <v>0.86078075682558186</v>
          </cell>
          <cell r="DQ15">
            <v>2718412.0700000003</v>
          </cell>
          <cell r="DR15">
            <v>1125480</v>
          </cell>
          <cell r="DS15">
            <v>112569</v>
          </cell>
          <cell r="DT15">
            <v>131943.91</v>
          </cell>
          <cell r="DU15">
            <v>0</v>
          </cell>
          <cell r="DV15">
            <v>0</v>
          </cell>
          <cell r="DW15">
            <v>0</v>
          </cell>
          <cell r="DX15">
            <v>55922</v>
          </cell>
          <cell r="DY15">
            <v>3566.4833329990506</v>
          </cell>
          <cell r="DZ15">
            <v>286373.65000000002</v>
          </cell>
          <cell r="EA15">
            <v>224446</v>
          </cell>
          <cell r="EB15">
            <v>0.86078075682558186</v>
          </cell>
          <cell r="EC15">
            <v>23800</v>
          </cell>
          <cell r="ED15">
            <v>12501</v>
          </cell>
          <cell r="EE15">
            <v>260747</v>
          </cell>
          <cell r="EF15">
            <v>4695014.9741137568</v>
          </cell>
          <cell r="EH15">
            <v>2721978.5533329993</v>
          </cell>
          <cell r="EI15">
            <v>11783.456940835495</v>
          </cell>
          <cell r="EJ15">
            <v>11280.729668108223</v>
          </cell>
          <cell r="EK15">
            <v>4408640.4633329995</v>
          </cell>
          <cell r="EL15">
            <v>4314824</v>
          </cell>
          <cell r="EM15">
            <v>93816.463332999498</v>
          </cell>
          <cell r="EN15">
            <v>2.1742825045239271E-2</v>
          </cell>
          <cell r="EO15">
            <v>93816.463332999498</v>
          </cell>
          <cell r="EP15">
            <v>380190.11333299987</v>
          </cell>
          <cell r="EQ15">
            <v>4276696.5533329993</v>
          </cell>
          <cell r="ER15">
            <v>3008352.2033329993</v>
          </cell>
          <cell r="ES15">
            <v>13023.169711398265</v>
          </cell>
          <cell r="ET15">
            <v>750285</v>
          </cell>
          <cell r="EU15">
            <v>73</v>
          </cell>
          <cell r="EV15">
            <v>12479.073122360754</v>
          </cell>
          <cell r="EW15">
            <v>158</v>
          </cell>
        </row>
        <row r="16">
          <cell r="A16">
            <v>220</v>
          </cell>
          <cell r="B16" t="str">
            <v>Burroughs ES</v>
          </cell>
          <cell r="C16" t="str">
            <v>ES</v>
          </cell>
          <cell r="D16">
            <v>5</v>
          </cell>
          <cell r="E16">
            <v>279</v>
          </cell>
          <cell r="F16">
            <v>0.43</v>
          </cell>
          <cell r="G16">
            <v>120</v>
          </cell>
          <cell r="H16">
            <v>195277</v>
          </cell>
          <cell r="I16">
            <v>112569</v>
          </cell>
          <cell r="M16">
            <v>45440</v>
          </cell>
          <cell r="N16">
            <v>67876</v>
          </cell>
          <cell r="S16">
            <v>78183</v>
          </cell>
          <cell r="T16">
            <v>60194</v>
          </cell>
          <cell r="U16">
            <v>50595</v>
          </cell>
          <cell r="V16">
            <v>56285</v>
          </cell>
          <cell r="W16">
            <v>56284.54</v>
          </cell>
          <cell r="X16">
            <v>337707</v>
          </cell>
          <cell r="Z16">
            <v>225138</v>
          </cell>
          <cell r="AA16">
            <v>112569</v>
          </cell>
          <cell r="AB16">
            <v>225138</v>
          </cell>
          <cell r="AC16">
            <v>187440</v>
          </cell>
          <cell r="AD16">
            <v>74976</v>
          </cell>
          <cell r="AE16">
            <v>1350828</v>
          </cell>
          <cell r="AG16">
            <v>112569</v>
          </cell>
          <cell r="AH16">
            <v>112569</v>
          </cell>
          <cell r="AI16">
            <v>787983</v>
          </cell>
          <cell r="AJ16">
            <v>224928</v>
          </cell>
          <cell r="AM16">
            <v>225138</v>
          </cell>
          <cell r="AR16">
            <v>40800</v>
          </cell>
          <cell r="AS16">
            <v>20400</v>
          </cell>
          <cell r="AT16">
            <v>10200</v>
          </cell>
          <cell r="AW16">
            <v>40800</v>
          </cell>
          <cell r="AX16">
            <v>126506.54000000001</v>
          </cell>
          <cell r="AZ16">
            <v>0</v>
          </cell>
          <cell r="BU16">
            <v>55922</v>
          </cell>
          <cell r="BY16">
            <v>2400</v>
          </cell>
          <cell r="BZ16">
            <v>1604</v>
          </cell>
          <cell r="CA16">
            <v>1395</v>
          </cell>
          <cell r="CB16">
            <v>1395</v>
          </cell>
          <cell r="CC16">
            <v>1604</v>
          </cell>
          <cell r="CD16">
            <v>5580</v>
          </cell>
          <cell r="CM16">
            <v>27900</v>
          </cell>
          <cell r="CN16">
            <v>72947</v>
          </cell>
          <cell r="CO16">
            <v>4443</v>
          </cell>
          <cell r="CY16">
            <v>8550</v>
          </cell>
          <cell r="DC16">
            <v>180148</v>
          </cell>
          <cell r="DD16">
            <v>5302281.08</v>
          </cell>
          <cell r="DE16">
            <v>-189245.76999999955</v>
          </cell>
          <cell r="DF16">
            <v>5113035.3100000005</v>
          </cell>
          <cell r="DG16">
            <v>134028.64000000001</v>
          </cell>
          <cell r="DH16">
            <v>112569</v>
          </cell>
          <cell r="DI16">
            <v>5113035.3100000005</v>
          </cell>
          <cell r="DJ16">
            <v>5359632.95</v>
          </cell>
          <cell r="DK16">
            <v>3164395.54</v>
          </cell>
          <cell r="DL16">
            <v>303782</v>
          </cell>
          <cell r="DM16">
            <v>71400</v>
          </cell>
          <cell r="DN16">
            <v>10950</v>
          </cell>
          <cell r="DO16">
            <v>221432</v>
          </cell>
          <cell r="DP16">
            <v>0.72891744738002906</v>
          </cell>
          <cell r="DQ16">
            <v>3131935.54</v>
          </cell>
          <cell r="DR16">
            <v>1238049</v>
          </cell>
          <cell r="DS16">
            <v>225138</v>
          </cell>
          <cell r="DT16">
            <v>167306.54</v>
          </cell>
          <cell r="DU16">
            <v>0</v>
          </cell>
          <cell r="DV16">
            <v>0</v>
          </cell>
          <cell r="DW16">
            <v>0</v>
          </cell>
          <cell r="DX16">
            <v>55922</v>
          </cell>
          <cell r="DY16">
            <v>-9097.769999999553</v>
          </cell>
          <cell r="DZ16">
            <v>246597.64</v>
          </cell>
          <cell r="EA16">
            <v>221432</v>
          </cell>
          <cell r="EB16">
            <v>0.72891744738002906</v>
          </cell>
          <cell r="EC16">
            <v>71400</v>
          </cell>
          <cell r="ED16">
            <v>10950</v>
          </cell>
          <cell r="EE16">
            <v>303782</v>
          </cell>
          <cell r="EF16">
            <v>5359633.6789174471</v>
          </cell>
          <cell r="EH16">
            <v>3122837.7700000005</v>
          </cell>
          <cell r="EI16">
            <v>11192.966917562726</v>
          </cell>
          <cell r="EJ16">
            <v>10547.275161290325</v>
          </cell>
          <cell r="EK16">
            <v>5113035.3100000005</v>
          </cell>
          <cell r="EL16">
            <v>4955605</v>
          </cell>
          <cell r="EM16">
            <v>157430.31000000052</v>
          </cell>
          <cell r="EN16">
            <v>3.1768131237255699E-2</v>
          </cell>
          <cell r="EO16">
            <v>157430.31000000052</v>
          </cell>
          <cell r="EP16">
            <v>404027.95000000019</v>
          </cell>
          <cell r="EQ16">
            <v>4945728.7700000005</v>
          </cell>
          <cell r="ER16">
            <v>3369435.4100000006</v>
          </cell>
          <cell r="ES16">
            <v>12076.8294265233</v>
          </cell>
          <cell r="ET16">
            <v>750285</v>
          </cell>
          <cell r="EU16">
            <v>81</v>
          </cell>
          <cell r="EV16">
            <v>11982.589747474751</v>
          </cell>
          <cell r="EW16">
            <v>198</v>
          </cell>
        </row>
        <row r="17">
          <cell r="A17">
            <v>221</v>
          </cell>
          <cell r="B17" t="str">
            <v>Burrville ES</v>
          </cell>
          <cell r="C17" t="str">
            <v>ES</v>
          </cell>
          <cell r="D17">
            <v>7</v>
          </cell>
          <cell r="E17">
            <v>305</v>
          </cell>
          <cell r="F17">
            <v>0.66900000000000004</v>
          </cell>
          <cell r="G17">
            <v>204</v>
          </cell>
          <cell r="H17">
            <v>195277</v>
          </cell>
          <cell r="I17">
            <v>112569</v>
          </cell>
          <cell r="J17">
            <v>125223</v>
          </cell>
          <cell r="M17">
            <v>90879</v>
          </cell>
          <cell r="N17">
            <v>67876</v>
          </cell>
          <cell r="S17">
            <v>78183</v>
          </cell>
          <cell r="T17">
            <v>60194</v>
          </cell>
          <cell r="U17">
            <v>101190</v>
          </cell>
          <cell r="V17">
            <v>112569</v>
          </cell>
          <cell r="X17">
            <v>337707</v>
          </cell>
          <cell r="Z17">
            <v>225138</v>
          </cell>
          <cell r="AA17">
            <v>112569</v>
          </cell>
          <cell r="AB17">
            <v>337707</v>
          </cell>
          <cell r="AC17">
            <v>224928</v>
          </cell>
          <cell r="AD17">
            <v>74976</v>
          </cell>
          <cell r="AE17">
            <v>1350828</v>
          </cell>
          <cell r="AG17">
            <v>112569</v>
          </cell>
          <cell r="AH17">
            <v>112569</v>
          </cell>
          <cell r="AI17">
            <v>337707</v>
          </cell>
          <cell r="AN17">
            <v>15760</v>
          </cell>
          <cell r="AR17">
            <v>13600</v>
          </cell>
          <cell r="AS17">
            <v>13600</v>
          </cell>
          <cell r="AT17">
            <v>10200</v>
          </cell>
          <cell r="AW17">
            <v>27200</v>
          </cell>
          <cell r="AX17">
            <v>138297.23000000001</v>
          </cell>
          <cell r="AZ17">
            <v>0</v>
          </cell>
          <cell r="BU17">
            <v>111844</v>
          </cell>
          <cell r="BY17">
            <v>4080</v>
          </cell>
          <cell r="BZ17">
            <v>1754</v>
          </cell>
          <cell r="CA17">
            <v>1525</v>
          </cell>
          <cell r="CB17">
            <v>1525</v>
          </cell>
          <cell r="CC17">
            <v>1754</v>
          </cell>
          <cell r="CD17">
            <v>6100</v>
          </cell>
          <cell r="CM17">
            <v>30500</v>
          </cell>
          <cell r="CN17">
            <v>67395</v>
          </cell>
          <cell r="CO17">
            <v>5857</v>
          </cell>
          <cell r="CV17">
            <v>13859</v>
          </cell>
          <cell r="CY17">
            <v>7425</v>
          </cell>
          <cell r="DC17">
            <v>104157</v>
          </cell>
          <cell r="DD17">
            <v>4747090.2300000004</v>
          </cell>
          <cell r="DE17">
            <v>-401.88185911625624</v>
          </cell>
          <cell r="DF17">
            <v>4746688.3481408842</v>
          </cell>
          <cell r="DG17">
            <v>179083.55</v>
          </cell>
          <cell r="DH17">
            <v>191509</v>
          </cell>
          <cell r="DI17">
            <v>4746688.3481408842</v>
          </cell>
          <cell r="DJ17">
            <v>5117280.898140884</v>
          </cell>
          <cell r="DK17">
            <v>3484656</v>
          </cell>
          <cell r="DL17">
            <v>516430</v>
          </cell>
          <cell r="DM17">
            <v>37400</v>
          </cell>
          <cell r="DN17">
            <v>11505</v>
          </cell>
          <cell r="DO17">
            <v>467525</v>
          </cell>
          <cell r="DP17">
            <v>0.90530178339755629</v>
          </cell>
          <cell r="DQ17">
            <v>3270557</v>
          </cell>
          <cell r="DR17">
            <v>562845</v>
          </cell>
          <cell r="DS17">
            <v>15760</v>
          </cell>
          <cell r="DT17">
            <v>165497.23000000001</v>
          </cell>
          <cell r="DU17">
            <v>0</v>
          </cell>
          <cell r="DV17">
            <v>0</v>
          </cell>
          <cell r="DW17">
            <v>0</v>
          </cell>
          <cell r="DX17">
            <v>111844</v>
          </cell>
          <cell r="DY17">
            <v>103755.11814088374</v>
          </cell>
          <cell r="DZ17">
            <v>370592.55</v>
          </cell>
          <cell r="EA17">
            <v>467525</v>
          </cell>
          <cell r="EB17">
            <v>0.90530178339755629</v>
          </cell>
          <cell r="EC17">
            <v>37400</v>
          </cell>
          <cell r="ED17">
            <v>11505</v>
          </cell>
          <cell r="EE17">
            <v>516430</v>
          </cell>
          <cell r="EF17">
            <v>5117281.8034426672</v>
          </cell>
          <cell r="EH17">
            <v>3374312.1181408837</v>
          </cell>
          <cell r="EI17">
            <v>11063.318420134045</v>
          </cell>
          <cell r="EJ17">
            <v>10721.820059478307</v>
          </cell>
          <cell r="EK17">
            <v>4746688.3481408842</v>
          </cell>
          <cell r="EL17">
            <v>4481493</v>
          </cell>
          <cell r="EM17">
            <v>265195.34814088419</v>
          </cell>
          <cell r="EN17">
            <v>5.9175669389840438E-2</v>
          </cell>
          <cell r="EO17">
            <v>265195.34814088419</v>
          </cell>
          <cell r="EP17">
            <v>635787.898140884</v>
          </cell>
          <cell r="EQ17">
            <v>4581191.1181408837</v>
          </cell>
          <cell r="ER17">
            <v>3744904.6681408836</v>
          </cell>
          <cell r="ES17">
            <v>12278.37596111765</v>
          </cell>
          <cell r="ET17">
            <v>900342</v>
          </cell>
          <cell r="EU17">
            <v>85</v>
          </cell>
          <cell r="EV17">
            <v>11245.318718822198</v>
          </cell>
          <cell r="EW17">
            <v>220</v>
          </cell>
        </row>
        <row r="18">
          <cell r="A18">
            <v>247</v>
          </cell>
          <cell r="B18" t="str">
            <v>C.W. Harris ES</v>
          </cell>
          <cell r="C18" t="str">
            <v>ES</v>
          </cell>
          <cell r="D18">
            <v>7</v>
          </cell>
          <cell r="E18">
            <v>232</v>
          </cell>
          <cell r="F18">
            <v>0.79300000000000004</v>
          </cell>
          <cell r="G18">
            <v>184</v>
          </cell>
          <cell r="H18">
            <v>195277</v>
          </cell>
          <cell r="I18">
            <v>112569</v>
          </cell>
          <cell r="M18">
            <v>45440</v>
          </cell>
          <cell r="N18">
            <v>67876</v>
          </cell>
          <cell r="S18">
            <v>78183</v>
          </cell>
          <cell r="T18">
            <v>60194</v>
          </cell>
          <cell r="U18">
            <v>50595</v>
          </cell>
          <cell r="V18">
            <v>56285</v>
          </cell>
          <cell r="W18">
            <v>56284.54</v>
          </cell>
          <cell r="X18">
            <v>337707</v>
          </cell>
          <cell r="Z18">
            <v>112569</v>
          </cell>
          <cell r="AB18">
            <v>225138</v>
          </cell>
          <cell r="AC18">
            <v>112464</v>
          </cell>
          <cell r="AD18">
            <v>74976</v>
          </cell>
          <cell r="AE18">
            <v>1238259</v>
          </cell>
          <cell r="AG18">
            <v>112569</v>
          </cell>
          <cell r="AH18">
            <v>112569</v>
          </cell>
          <cell r="AI18">
            <v>675414</v>
          </cell>
          <cell r="AJ18">
            <v>149952</v>
          </cell>
          <cell r="AN18">
            <v>5628</v>
          </cell>
          <cell r="AR18">
            <v>6800</v>
          </cell>
          <cell r="AS18">
            <v>20400</v>
          </cell>
          <cell r="AT18">
            <v>10200</v>
          </cell>
          <cell r="AW18">
            <v>27200</v>
          </cell>
          <cell r="AX18">
            <v>211848.32500000001</v>
          </cell>
          <cell r="AZ18">
            <v>0</v>
          </cell>
          <cell r="BE18">
            <v>112569</v>
          </cell>
          <cell r="BU18">
            <v>111844</v>
          </cell>
          <cell r="BY18">
            <v>7404</v>
          </cell>
          <cell r="BZ18">
            <v>1334</v>
          </cell>
          <cell r="CA18">
            <v>1160</v>
          </cell>
          <cell r="CB18">
            <v>1160</v>
          </cell>
          <cell r="CC18">
            <v>1334</v>
          </cell>
          <cell r="CD18">
            <v>4640</v>
          </cell>
          <cell r="CM18">
            <v>23200</v>
          </cell>
          <cell r="CN18">
            <v>61553</v>
          </cell>
          <cell r="CO18">
            <v>4373</v>
          </cell>
          <cell r="CV18">
            <v>13859</v>
          </cell>
          <cell r="CY18">
            <v>21450</v>
          </cell>
          <cell r="DA18">
            <v>47495</v>
          </cell>
          <cell r="DB18">
            <v>112569</v>
          </cell>
          <cell r="DC18">
            <v>106680</v>
          </cell>
          <cell r="DD18">
            <v>4789020.8650000002</v>
          </cell>
          <cell r="DE18">
            <v>-163243.54565389547</v>
          </cell>
          <cell r="DF18">
            <v>4625777.3193461047</v>
          </cell>
          <cell r="DG18">
            <v>161663.60999999999</v>
          </cell>
          <cell r="DH18">
            <v>225138</v>
          </cell>
          <cell r="DI18">
            <v>4625777.3193461047</v>
          </cell>
          <cell r="DJ18">
            <v>5012578.9293461051</v>
          </cell>
          <cell r="DK18">
            <v>2733598.54</v>
          </cell>
          <cell r="DL18">
            <v>465798</v>
          </cell>
          <cell r="DM18">
            <v>37400</v>
          </cell>
          <cell r="DN18">
            <v>141423</v>
          </cell>
          <cell r="DO18">
            <v>286975</v>
          </cell>
          <cell r="DP18">
            <v>0.61609324213500272</v>
          </cell>
          <cell r="DQ18">
            <v>2762023.54</v>
          </cell>
          <cell r="DR18">
            <v>1050504</v>
          </cell>
          <cell r="DS18">
            <v>5628</v>
          </cell>
          <cell r="DT18">
            <v>239048.32500000001</v>
          </cell>
          <cell r="DU18">
            <v>0</v>
          </cell>
          <cell r="DV18">
            <v>0</v>
          </cell>
          <cell r="DW18">
            <v>47495</v>
          </cell>
          <cell r="DX18">
            <v>111844</v>
          </cell>
          <cell r="DY18">
            <v>-56563.545653895475</v>
          </cell>
          <cell r="DZ18">
            <v>386801.61</v>
          </cell>
          <cell r="EA18">
            <v>286975</v>
          </cell>
          <cell r="EB18">
            <v>0.61609324213500272</v>
          </cell>
          <cell r="EC18">
            <v>37400</v>
          </cell>
          <cell r="ED18">
            <v>141423</v>
          </cell>
          <cell r="EE18">
            <v>465798</v>
          </cell>
          <cell r="EF18">
            <v>5012579.5454393476</v>
          </cell>
          <cell r="EH18">
            <v>2752954.9943461046</v>
          </cell>
          <cell r="EI18">
            <v>11866.185320457347</v>
          </cell>
          <cell r="EJ18">
            <v>10716.426699767691</v>
          </cell>
          <cell r="EK18">
            <v>4578282.3193461047</v>
          </cell>
          <cell r="EL18">
            <v>4570507</v>
          </cell>
          <cell r="EM18">
            <v>7775.3193461047485</v>
          </cell>
          <cell r="EN18">
            <v>1.7011940570498521E-3</v>
          </cell>
          <cell r="EO18">
            <v>55270.319346104749</v>
          </cell>
          <cell r="EP18">
            <v>442071.92934610508</v>
          </cell>
          <cell r="EQ18">
            <v>4386728.9943461046</v>
          </cell>
          <cell r="ER18">
            <v>3139756.6043461044</v>
          </cell>
          <cell r="ES18">
            <v>13533.433639422863</v>
          </cell>
          <cell r="ET18">
            <v>450171</v>
          </cell>
          <cell r="EU18">
            <v>44</v>
          </cell>
          <cell r="EV18">
            <v>12248.851033755875</v>
          </cell>
          <cell r="EW18">
            <v>188</v>
          </cell>
        </row>
        <row r="19">
          <cell r="A19">
            <v>224</v>
          </cell>
          <cell r="B19" t="str">
            <v>Cleveland ES</v>
          </cell>
          <cell r="C19" t="str">
            <v>ES</v>
          </cell>
          <cell r="D19">
            <v>1</v>
          </cell>
          <cell r="E19">
            <v>300</v>
          </cell>
          <cell r="F19">
            <v>0.437</v>
          </cell>
          <cell r="G19">
            <v>131</v>
          </cell>
          <cell r="H19">
            <v>195277</v>
          </cell>
          <cell r="I19">
            <v>112569</v>
          </cell>
          <cell r="J19">
            <v>125223</v>
          </cell>
          <cell r="M19">
            <v>90879</v>
          </cell>
          <cell r="N19">
            <v>67876</v>
          </cell>
          <cell r="S19">
            <v>78183</v>
          </cell>
          <cell r="T19">
            <v>60194</v>
          </cell>
          <cell r="U19">
            <v>101190</v>
          </cell>
          <cell r="V19">
            <v>112569</v>
          </cell>
          <cell r="X19">
            <v>337707</v>
          </cell>
          <cell r="Y19">
            <v>168854</v>
          </cell>
          <cell r="Z19">
            <v>225138</v>
          </cell>
          <cell r="AA19">
            <v>112569</v>
          </cell>
          <cell r="AB19">
            <v>225138</v>
          </cell>
          <cell r="AC19">
            <v>187440</v>
          </cell>
          <cell r="AD19">
            <v>74976</v>
          </cell>
          <cell r="AE19">
            <v>1350828</v>
          </cell>
          <cell r="AG19">
            <v>112569</v>
          </cell>
          <cell r="AH19">
            <v>112569</v>
          </cell>
          <cell r="AI19">
            <v>450276</v>
          </cell>
          <cell r="AM19">
            <v>337707</v>
          </cell>
          <cell r="AR19">
            <v>20400</v>
          </cell>
          <cell r="AS19">
            <v>20400</v>
          </cell>
          <cell r="AT19">
            <v>10200</v>
          </cell>
          <cell r="AW19">
            <v>40800</v>
          </cell>
          <cell r="AX19">
            <v>136027.87</v>
          </cell>
          <cell r="AZ19">
            <v>0</v>
          </cell>
          <cell r="BU19">
            <v>55922</v>
          </cell>
          <cell r="BY19">
            <v>2611</v>
          </cell>
          <cell r="BZ19">
            <v>1725</v>
          </cell>
          <cell r="CA19">
            <v>1500</v>
          </cell>
          <cell r="CB19">
            <v>1500</v>
          </cell>
          <cell r="CC19">
            <v>1725</v>
          </cell>
          <cell r="CD19">
            <v>6000</v>
          </cell>
          <cell r="CM19">
            <v>30000</v>
          </cell>
          <cell r="CN19">
            <v>74700</v>
          </cell>
          <cell r="CO19">
            <v>4806</v>
          </cell>
          <cell r="CY19">
            <v>14575</v>
          </cell>
          <cell r="DA19">
            <v>208304</v>
          </cell>
          <cell r="DC19">
            <v>56285</v>
          </cell>
          <cell r="DD19">
            <v>5327211.87</v>
          </cell>
          <cell r="DE19">
            <v>7.9333300003781915</v>
          </cell>
          <cell r="DF19">
            <v>5327219.8033300005</v>
          </cell>
          <cell r="DG19">
            <v>92286.02</v>
          </cell>
          <cell r="DH19">
            <v>225138</v>
          </cell>
          <cell r="DI19">
            <v>5327219.8033300005</v>
          </cell>
          <cell r="DJ19">
            <v>5644643.82333</v>
          </cell>
          <cell r="DK19">
            <v>3340145</v>
          </cell>
          <cell r="DL19">
            <v>331629</v>
          </cell>
          <cell r="DM19">
            <v>51000</v>
          </cell>
          <cell r="DN19">
            <v>186040</v>
          </cell>
          <cell r="DO19">
            <v>94589</v>
          </cell>
          <cell r="DP19">
            <v>0.28522535725162756</v>
          </cell>
          <cell r="DQ19">
            <v>3485123</v>
          </cell>
          <cell r="DR19">
            <v>675414</v>
          </cell>
          <cell r="DS19">
            <v>337707</v>
          </cell>
          <cell r="DT19">
            <v>176827.87</v>
          </cell>
          <cell r="DU19">
            <v>0</v>
          </cell>
          <cell r="DV19">
            <v>0</v>
          </cell>
          <cell r="DW19">
            <v>208304</v>
          </cell>
          <cell r="DX19">
            <v>55922</v>
          </cell>
          <cell r="DY19">
            <v>56292.933330000378</v>
          </cell>
          <cell r="DZ19">
            <v>317424.02</v>
          </cell>
          <cell r="EA19">
            <v>94589</v>
          </cell>
          <cell r="EB19">
            <v>0.28522535725162756</v>
          </cell>
          <cell r="EC19">
            <v>51000</v>
          </cell>
          <cell r="ED19">
            <v>186040</v>
          </cell>
          <cell r="EE19">
            <v>331629</v>
          </cell>
          <cell r="EF19">
            <v>5644644.108555357</v>
          </cell>
          <cell r="EH19">
            <v>3749719.9333300004</v>
          </cell>
          <cell r="EI19">
            <v>12499.066444433334</v>
          </cell>
          <cell r="EJ19">
            <v>11617.103111100001</v>
          </cell>
          <cell r="EK19">
            <v>5118915.8033300005</v>
          </cell>
          <cell r="EL19">
            <v>5498920</v>
          </cell>
          <cell r="EM19">
            <v>-380004.19666999951</v>
          </cell>
          <cell r="EN19">
            <v>-6.9105241878405124E-2</v>
          </cell>
          <cell r="EO19">
            <v>-171700.19666999951</v>
          </cell>
          <cell r="EP19">
            <v>145723.82333000004</v>
          </cell>
          <cell r="EQ19">
            <v>5150391.9333300004</v>
          </cell>
          <cell r="ER19">
            <v>4067143.9533300004</v>
          </cell>
          <cell r="ES19">
            <v>13557.146511100002</v>
          </cell>
          <cell r="ET19">
            <v>750285</v>
          </cell>
          <cell r="EU19">
            <v>75</v>
          </cell>
          <cell r="EV19">
            <v>13330.821925911112</v>
          </cell>
          <cell r="EW19">
            <v>225</v>
          </cell>
        </row>
        <row r="20">
          <cell r="A20">
            <v>349</v>
          </cell>
          <cell r="B20" t="str">
            <v>Dorothy Height ES</v>
          </cell>
          <cell r="C20" t="str">
            <v>ES</v>
          </cell>
          <cell r="D20">
            <v>4</v>
          </cell>
          <cell r="E20">
            <v>452</v>
          </cell>
          <cell r="F20">
            <v>0.40699999999999997</v>
          </cell>
          <cell r="G20">
            <v>184</v>
          </cell>
          <cell r="H20">
            <v>195277</v>
          </cell>
          <cell r="I20">
            <v>112569</v>
          </cell>
          <cell r="J20">
            <v>172182</v>
          </cell>
          <cell r="M20">
            <v>90879</v>
          </cell>
          <cell r="N20">
            <v>67876</v>
          </cell>
          <cell r="O20">
            <v>55703</v>
          </cell>
          <cell r="S20">
            <v>78183</v>
          </cell>
          <cell r="T20">
            <v>60194</v>
          </cell>
          <cell r="U20">
            <v>101190</v>
          </cell>
          <cell r="V20">
            <v>112569</v>
          </cell>
          <cell r="X20">
            <v>506561</v>
          </cell>
          <cell r="Z20">
            <v>562845</v>
          </cell>
          <cell r="AB20">
            <v>562845</v>
          </cell>
          <cell r="AC20">
            <v>337392</v>
          </cell>
          <cell r="AD20">
            <v>112464</v>
          </cell>
          <cell r="AE20">
            <v>1913673</v>
          </cell>
          <cell r="AG20">
            <v>112569</v>
          </cell>
          <cell r="AH20">
            <v>225138</v>
          </cell>
          <cell r="AI20">
            <v>787983</v>
          </cell>
          <cell r="AJ20">
            <v>224928</v>
          </cell>
          <cell r="AM20">
            <v>1238259</v>
          </cell>
          <cell r="AP20">
            <v>225138</v>
          </cell>
          <cell r="AW20">
            <v>0</v>
          </cell>
          <cell r="AX20">
            <v>204953.19</v>
          </cell>
          <cell r="AZ20">
            <v>0</v>
          </cell>
          <cell r="BU20">
            <v>111844</v>
          </cell>
          <cell r="BY20">
            <v>3673</v>
          </cell>
          <cell r="BZ20">
            <v>2599</v>
          </cell>
          <cell r="CA20">
            <v>2260</v>
          </cell>
          <cell r="CB20">
            <v>2260</v>
          </cell>
          <cell r="CC20">
            <v>2599</v>
          </cell>
          <cell r="CD20">
            <v>9040</v>
          </cell>
          <cell r="CM20">
            <v>45200</v>
          </cell>
          <cell r="CN20">
            <v>124676</v>
          </cell>
          <cell r="CO20">
            <v>4271</v>
          </cell>
          <cell r="CY20">
            <v>15400</v>
          </cell>
          <cell r="DA20">
            <v>45581</v>
          </cell>
          <cell r="DC20">
            <v>262626</v>
          </cell>
          <cell r="DD20">
            <v>8693399.1900000013</v>
          </cell>
          <cell r="DE20">
            <v>-112555.91000000201</v>
          </cell>
          <cell r="DF20">
            <v>8580843.2799999993</v>
          </cell>
          <cell r="DG20">
            <v>186366.74</v>
          </cell>
          <cell r="DH20">
            <v>105424</v>
          </cell>
          <cell r="DI20">
            <v>8580843.2799999993</v>
          </cell>
          <cell r="DJ20">
            <v>8872634.0199999996</v>
          </cell>
          <cell r="DK20">
            <v>4995740</v>
          </cell>
          <cell r="DL20">
            <v>465800</v>
          </cell>
          <cell r="DM20">
            <v>0</v>
          </cell>
          <cell r="DN20">
            <v>19073</v>
          </cell>
          <cell r="DO20">
            <v>446727</v>
          </cell>
          <cell r="DP20">
            <v>0.95905324173465012</v>
          </cell>
          <cell r="DQ20">
            <v>4788580</v>
          </cell>
          <cell r="DR20">
            <v>1350618</v>
          </cell>
          <cell r="DS20">
            <v>1463397</v>
          </cell>
          <cell r="DT20">
            <v>204953.19</v>
          </cell>
          <cell r="DU20">
            <v>0</v>
          </cell>
          <cell r="DV20">
            <v>0</v>
          </cell>
          <cell r="DW20">
            <v>45581</v>
          </cell>
          <cell r="DX20">
            <v>111844</v>
          </cell>
          <cell r="DY20">
            <v>150070.08999999799</v>
          </cell>
          <cell r="DZ20">
            <v>291790.74</v>
          </cell>
          <cell r="EA20">
            <v>446727</v>
          </cell>
          <cell r="EB20">
            <v>0.95905324173465012</v>
          </cell>
          <cell r="EC20">
            <v>0</v>
          </cell>
          <cell r="ED20">
            <v>19073</v>
          </cell>
          <cell r="EE20">
            <v>465800</v>
          </cell>
          <cell r="EF20">
            <v>8872634.9790532403</v>
          </cell>
          <cell r="EH20">
            <v>4984231.089999998</v>
          </cell>
          <cell r="EI20">
            <v>11027.059933628314</v>
          </cell>
          <cell r="EJ20">
            <v>10345.186039823004</v>
          </cell>
          <cell r="EK20">
            <v>8535262.2799999993</v>
          </cell>
          <cell r="EL20">
            <v>8686268</v>
          </cell>
          <cell r="EM20">
            <v>-151005.72000000067</v>
          </cell>
          <cell r="EN20">
            <v>-1.738441871699108E-2</v>
          </cell>
          <cell r="EO20">
            <v>-105424.72000000067</v>
          </cell>
          <cell r="EP20">
            <v>186366.01999999955</v>
          </cell>
          <cell r="EQ20">
            <v>8375890.0899999989</v>
          </cell>
          <cell r="ER20">
            <v>5276021.8299999982</v>
          </cell>
          <cell r="ES20">
            <v>11672.614668141588</v>
          </cell>
          <cell r="ET20">
            <v>1463082</v>
          </cell>
          <cell r="EU20">
            <v>127</v>
          </cell>
          <cell r="EV20">
            <v>10834.304892307686</v>
          </cell>
          <cell r="EW20">
            <v>325</v>
          </cell>
        </row>
        <row r="21">
          <cell r="A21">
            <v>231</v>
          </cell>
          <cell r="B21" t="str">
            <v>Drew ES</v>
          </cell>
          <cell r="C21" t="str">
            <v>ES</v>
          </cell>
          <cell r="D21">
            <v>7</v>
          </cell>
          <cell r="E21">
            <v>223</v>
          </cell>
          <cell r="F21">
            <v>0.74</v>
          </cell>
          <cell r="G21">
            <v>165</v>
          </cell>
          <cell r="H21">
            <v>195277</v>
          </cell>
          <cell r="I21">
            <v>112569</v>
          </cell>
          <cell r="M21">
            <v>45440</v>
          </cell>
          <cell r="N21">
            <v>67876</v>
          </cell>
          <cell r="S21">
            <v>78183</v>
          </cell>
          <cell r="T21">
            <v>60194</v>
          </cell>
          <cell r="U21">
            <v>50595</v>
          </cell>
          <cell r="V21">
            <v>56285</v>
          </cell>
          <cell r="W21">
            <v>56284.54</v>
          </cell>
          <cell r="X21">
            <v>337707</v>
          </cell>
          <cell r="Z21">
            <v>112569</v>
          </cell>
          <cell r="AA21">
            <v>112569</v>
          </cell>
          <cell r="AB21">
            <v>112569</v>
          </cell>
          <cell r="AC21">
            <v>112464</v>
          </cell>
          <cell r="AD21">
            <v>74976</v>
          </cell>
          <cell r="AE21">
            <v>1125690</v>
          </cell>
          <cell r="AG21">
            <v>112569</v>
          </cell>
          <cell r="AH21">
            <v>112569</v>
          </cell>
          <cell r="AI21">
            <v>675414</v>
          </cell>
          <cell r="AJ21">
            <v>149952</v>
          </cell>
          <cell r="AN21">
            <v>46153</v>
          </cell>
          <cell r="AR21">
            <v>6800</v>
          </cell>
          <cell r="AS21">
            <v>6800</v>
          </cell>
          <cell r="AT21">
            <v>10200</v>
          </cell>
          <cell r="AW21">
            <v>40800</v>
          </cell>
          <cell r="AX21">
            <v>101115.95</v>
          </cell>
          <cell r="AZ21">
            <v>0</v>
          </cell>
          <cell r="BU21">
            <v>55922</v>
          </cell>
          <cell r="BY21">
            <v>3328</v>
          </cell>
          <cell r="BZ21">
            <v>1282</v>
          </cell>
          <cell r="CA21">
            <v>1115</v>
          </cell>
          <cell r="CB21">
            <v>1115</v>
          </cell>
          <cell r="CC21">
            <v>1282</v>
          </cell>
          <cell r="CD21">
            <v>4460</v>
          </cell>
          <cell r="CM21">
            <v>22300</v>
          </cell>
          <cell r="CN21">
            <v>60400</v>
          </cell>
          <cell r="CO21">
            <v>4391</v>
          </cell>
          <cell r="CV21">
            <v>13859</v>
          </cell>
          <cell r="CY21">
            <v>17225</v>
          </cell>
          <cell r="DB21">
            <v>112569</v>
          </cell>
          <cell r="DC21">
            <v>0</v>
          </cell>
          <cell r="DD21">
            <v>4272868.49</v>
          </cell>
          <cell r="DE21">
            <v>-56382.228794779629</v>
          </cell>
          <cell r="DF21">
            <v>4216486.2612052206</v>
          </cell>
          <cell r="DG21">
            <v>126964.59</v>
          </cell>
          <cell r="DH21">
            <v>225138</v>
          </cell>
          <cell r="DI21">
            <v>4216486.2612052206</v>
          </cell>
          <cell r="DJ21">
            <v>4568588.8512052204</v>
          </cell>
          <cell r="DK21">
            <v>2618620.54</v>
          </cell>
          <cell r="DL21">
            <v>417700</v>
          </cell>
          <cell r="DM21">
            <v>23800</v>
          </cell>
          <cell r="DN21">
            <v>20553</v>
          </cell>
          <cell r="DO21">
            <v>373347</v>
          </cell>
          <cell r="DP21">
            <v>0.89381613598276277</v>
          </cell>
          <cell r="DQ21">
            <v>2560673.54</v>
          </cell>
          <cell r="DR21">
            <v>1050504</v>
          </cell>
          <cell r="DS21">
            <v>46153</v>
          </cell>
          <cell r="DT21">
            <v>141915.95000000001</v>
          </cell>
          <cell r="DU21">
            <v>0</v>
          </cell>
          <cell r="DV21">
            <v>0</v>
          </cell>
          <cell r="DW21">
            <v>0</v>
          </cell>
          <cell r="DX21">
            <v>55922</v>
          </cell>
          <cell r="DY21">
            <v>-56382.228794779629</v>
          </cell>
          <cell r="DZ21">
            <v>352102.58999999997</v>
          </cell>
          <cell r="EA21">
            <v>373347</v>
          </cell>
          <cell r="EB21">
            <v>0.89381613598276277</v>
          </cell>
          <cell r="EC21">
            <v>23800</v>
          </cell>
          <cell r="ED21">
            <v>20553</v>
          </cell>
          <cell r="EE21">
            <v>417700</v>
          </cell>
          <cell r="EF21">
            <v>4568589.7450213563</v>
          </cell>
          <cell r="EH21">
            <v>2504291.3112052204</v>
          </cell>
          <cell r="EI21">
            <v>11230.005879844037</v>
          </cell>
          <cell r="EJ21">
            <v>10725.212157870943</v>
          </cell>
          <cell r="EK21">
            <v>4216486.2612052206</v>
          </cell>
          <cell r="EL21">
            <v>4145042</v>
          </cell>
          <cell r="EM21">
            <v>71444.261205220595</v>
          </cell>
          <cell r="EN21">
            <v>1.7236076547649117E-2</v>
          </cell>
          <cell r="EO21">
            <v>71444.261205220595</v>
          </cell>
          <cell r="EP21">
            <v>423546.85120522045</v>
          </cell>
          <cell r="EQ21">
            <v>4074570.3112052204</v>
          </cell>
          <cell r="ER21">
            <v>2856393.9012052203</v>
          </cell>
          <cell r="ES21">
            <v>12808.941261009957</v>
          </cell>
          <cell r="ET21">
            <v>450171</v>
          </cell>
          <cell r="EU21">
            <v>49</v>
          </cell>
          <cell r="EV21">
            <v>11805.289144857588</v>
          </cell>
          <cell r="EW21">
            <v>174</v>
          </cell>
        </row>
        <row r="22">
          <cell r="A22">
            <v>232</v>
          </cell>
          <cell r="B22" t="str">
            <v>Eaton ES</v>
          </cell>
          <cell r="C22" t="str">
            <v>ES</v>
          </cell>
          <cell r="D22">
            <v>3</v>
          </cell>
          <cell r="E22">
            <v>444</v>
          </cell>
          <cell r="F22">
            <v>5.1999999999999998E-2</v>
          </cell>
          <cell r="G22">
            <v>23</v>
          </cell>
          <cell r="H22">
            <v>195277</v>
          </cell>
          <cell r="I22">
            <v>112569</v>
          </cell>
          <cell r="J22">
            <v>172182</v>
          </cell>
          <cell r="M22">
            <v>90879</v>
          </cell>
          <cell r="N22">
            <v>67876</v>
          </cell>
          <cell r="O22">
            <v>55703</v>
          </cell>
          <cell r="S22">
            <v>78183</v>
          </cell>
          <cell r="T22">
            <v>60194</v>
          </cell>
          <cell r="U22">
            <v>101190</v>
          </cell>
          <cell r="V22">
            <v>112569</v>
          </cell>
          <cell r="X22">
            <v>506561</v>
          </cell>
          <cell r="AB22">
            <v>225138</v>
          </cell>
          <cell r="AC22">
            <v>74976</v>
          </cell>
          <cell r="AD22">
            <v>112464</v>
          </cell>
          <cell r="AE22">
            <v>2138811</v>
          </cell>
          <cell r="AG22">
            <v>112569</v>
          </cell>
          <cell r="AH22">
            <v>112569</v>
          </cell>
          <cell r="AI22">
            <v>450276</v>
          </cell>
          <cell r="AJ22">
            <v>37488</v>
          </cell>
          <cell r="AM22">
            <v>337707</v>
          </cell>
          <cell r="AW22">
            <v>0</v>
          </cell>
          <cell r="AX22">
            <v>0</v>
          </cell>
          <cell r="AY22">
            <v>11100</v>
          </cell>
          <cell r="AZ22">
            <v>0</v>
          </cell>
          <cell r="BU22">
            <v>167765</v>
          </cell>
          <cell r="BZ22">
            <v>2553</v>
          </cell>
          <cell r="CA22">
            <v>2220</v>
          </cell>
          <cell r="CB22">
            <v>2220</v>
          </cell>
          <cell r="CC22">
            <v>2553</v>
          </cell>
          <cell r="CD22">
            <v>8880</v>
          </cell>
          <cell r="CM22">
            <v>44400</v>
          </cell>
          <cell r="CN22">
            <v>82999</v>
          </cell>
          <cell r="CO22">
            <v>5123</v>
          </cell>
          <cell r="CY22">
            <v>3150</v>
          </cell>
          <cell r="DC22">
            <v>0</v>
          </cell>
          <cell r="DD22">
            <v>5488144</v>
          </cell>
          <cell r="DE22">
            <v>7.7633299995213747</v>
          </cell>
          <cell r="DF22">
            <v>5488151.7633299995</v>
          </cell>
          <cell r="DG22">
            <v>59973.69</v>
          </cell>
          <cell r="DH22">
            <v>56284.5</v>
          </cell>
          <cell r="DI22">
            <v>5488151.7633299995</v>
          </cell>
          <cell r="DJ22">
            <v>5604409.9533299999</v>
          </cell>
          <cell r="DK22">
            <v>4015953</v>
          </cell>
          <cell r="DL22">
            <v>58225</v>
          </cell>
          <cell r="DM22">
            <v>0</v>
          </cell>
          <cell r="DN22">
            <v>3150</v>
          </cell>
          <cell r="DO22">
            <v>55075</v>
          </cell>
          <cell r="DP22">
            <v>0.94589952769428942</v>
          </cell>
          <cell r="DQ22">
            <v>4200445</v>
          </cell>
          <cell r="DR22">
            <v>712902</v>
          </cell>
          <cell r="DS22">
            <v>337707</v>
          </cell>
          <cell r="DT22">
            <v>11100</v>
          </cell>
          <cell r="DU22">
            <v>0</v>
          </cell>
          <cell r="DV22">
            <v>0</v>
          </cell>
          <cell r="DW22">
            <v>0</v>
          </cell>
          <cell r="DX22">
            <v>167765</v>
          </cell>
          <cell r="DY22">
            <v>7.7633299995213747</v>
          </cell>
          <cell r="DZ22">
            <v>116258.19</v>
          </cell>
          <cell r="EA22">
            <v>55075</v>
          </cell>
          <cell r="EB22">
            <v>0.94589952769428942</v>
          </cell>
          <cell r="EC22">
            <v>0</v>
          </cell>
          <cell r="ED22">
            <v>3150</v>
          </cell>
          <cell r="EE22">
            <v>58225</v>
          </cell>
          <cell r="EF22">
            <v>5604410.8992295275</v>
          </cell>
          <cell r="EH22">
            <v>4200452.7633299995</v>
          </cell>
          <cell r="EI22">
            <v>9460.479196689188</v>
          </cell>
          <cell r="EJ22">
            <v>9460.479196689188</v>
          </cell>
          <cell r="EK22">
            <v>5488151.7633299995</v>
          </cell>
          <cell r="EL22">
            <v>5342123</v>
          </cell>
          <cell r="EM22">
            <v>146028.76332999952</v>
          </cell>
          <cell r="EN22">
            <v>2.7335342771029329E-2</v>
          </cell>
          <cell r="EO22">
            <v>146028.76332999952</v>
          </cell>
          <cell r="EP22">
            <v>262286.95332999993</v>
          </cell>
          <cell r="EQ22">
            <v>5477051.7633299995</v>
          </cell>
          <cell r="ER22">
            <v>4316710.9533299999</v>
          </cell>
          <cell r="ES22">
            <v>9722.32196695946</v>
          </cell>
          <cell r="ET22">
            <v>300114</v>
          </cell>
          <cell r="EU22">
            <v>38</v>
          </cell>
          <cell r="EV22">
            <v>9606.7457224876835</v>
          </cell>
          <cell r="EW22">
            <v>406</v>
          </cell>
        </row>
        <row r="23">
          <cell r="A23">
            <v>238</v>
          </cell>
          <cell r="B23" t="str">
            <v>Garfield ES</v>
          </cell>
          <cell r="C23" t="str">
            <v>ES</v>
          </cell>
          <cell r="D23">
            <v>8</v>
          </cell>
          <cell r="E23">
            <v>239</v>
          </cell>
          <cell r="F23">
            <v>0.79500000000000004</v>
          </cell>
          <cell r="G23">
            <v>190</v>
          </cell>
          <cell r="H23">
            <v>195277</v>
          </cell>
          <cell r="I23">
            <v>112569</v>
          </cell>
          <cell r="M23">
            <v>45440</v>
          </cell>
          <cell r="N23">
            <v>67876</v>
          </cell>
          <cell r="S23">
            <v>78183</v>
          </cell>
          <cell r="T23">
            <v>60194</v>
          </cell>
          <cell r="U23">
            <v>50595</v>
          </cell>
          <cell r="V23">
            <v>56285</v>
          </cell>
          <cell r="W23">
            <v>56284.54</v>
          </cell>
          <cell r="X23">
            <v>337707</v>
          </cell>
          <cell r="Z23">
            <v>112569</v>
          </cell>
          <cell r="AA23">
            <v>112569</v>
          </cell>
          <cell r="AB23">
            <v>112569</v>
          </cell>
          <cell r="AC23">
            <v>112464</v>
          </cell>
          <cell r="AD23">
            <v>74976</v>
          </cell>
          <cell r="AE23">
            <v>1238259</v>
          </cell>
          <cell r="AG23">
            <v>112569</v>
          </cell>
          <cell r="AH23">
            <v>112569</v>
          </cell>
          <cell r="AI23">
            <v>675414</v>
          </cell>
          <cell r="AJ23">
            <v>224928</v>
          </cell>
          <cell r="AN23">
            <v>5628</v>
          </cell>
          <cell r="AR23">
            <v>13600</v>
          </cell>
          <cell r="AS23">
            <v>13600</v>
          </cell>
          <cell r="AT23">
            <v>10200</v>
          </cell>
          <cell r="AW23">
            <v>40800</v>
          </cell>
          <cell r="AX23">
            <v>108370.12</v>
          </cell>
          <cell r="AZ23">
            <v>0</v>
          </cell>
          <cell r="BU23">
            <v>55922</v>
          </cell>
          <cell r="BY23">
            <v>7625</v>
          </cell>
          <cell r="BZ23">
            <v>1374</v>
          </cell>
          <cell r="CA23">
            <v>1195</v>
          </cell>
          <cell r="CB23">
            <v>1195</v>
          </cell>
          <cell r="CC23">
            <v>1374</v>
          </cell>
          <cell r="CD23">
            <v>4780</v>
          </cell>
          <cell r="CM23">
            <v>23900</v>
          </cell>
          <cell r="CN23">
            <v>62760</v>
          </cell>
          <cell r="CO23">
            <v>4304</v>
          </cell>
          <cell r="CV23">
            <v>13859</v>
          </cell>
          <cell r="CY23">
            <v>26325</v>
          </cell>
          <cell r="DA23">
            <v>65219</v>
          </cell>
          <cell r="DB23">
            <v>112569</v>
          </cell>
          <cell r="DC23">
            <v>0</v>
          </cell>
          <cell r="DD23">
            <v>4523895.66</v>
          </cell>
          <cell r="DE23">
            <v>55779.049343104474</v>
          </cell>
          <cell r="DF23">
            <v>4579674.7093431046</v>
          </cell>
          <cell r="DG23">
            <v>151027.20000000001</v>
          </cell>
          <cell r="DH23">
            <v>554794</v>
          </cell>
          <cell r="DI23">
            <v>4579674.7093431046</v>
          </cell>
          <cell r="DJ23">
            <v>5285495.9093431048</v>
          </cell>
          <cell r="DK23">
            <v>2735726.54</v>
          </cell>
          <cell r="DL23">
            <v>480988.64</v>
          </cell>
          <cell r="DM23">
            <v>37400</v>
          </cell>
          <cell r="DN23">
            <v>33950</v>
          </cell>
          <cell r="DO23">
            <v>409638.64</v>
          </cell>
          <cell r="DP23">
            <v>0.85165969824152188</v>
          </cell>
          <cell r="DQ23">
            <v>2641487.9</v>
          </cell>
          <cell r="DR23">
            <v>1125480</v>
          </cell>
          <cell r="DS23">
            <v>5628</v>
          </cell>
          <cell r="DT23">
            <v>149170.12</v>
          </cell>
          <cell r="DU23">
            <v>0</v>
          </cell>
          <cell r="DV23">
            <v>0</v>
          </cell>
          <cell r="DW23">
            <v>65219</v>
          </cell>
          <cell r="DX23">
            <v>55922</v>
          </cell>
          <cell r="DY23">
            <v>55779.049343104474</v>
          </cell>
          <cell r="DZ23">
            <v>705821.2</v>
          </cell>
          <cell r="EA23">
            <v>409638.64</v>
          </cell>
          <cell r="EB23">
            <v>0.85165969824152188</v>
          </cell>
          <cell r="EC23">
            <v>37400</v>
          </cell>
          <cell r="ED23">
            <v>33950</v>
          </cell>
          <cell r="EE23">
            <v>480988.64</v>
          </cell>
          <cell r="EF23">
            <v>5285496.7610028023</v>
          </cell>
          <cell r="EH23">
            <v>2762485.9493431044</v>
          </cell>
          <cell r="EI23">
            <v>11558.518616498344</v>
          </cell>
          <cell r="EJ23">
            <v>10814.635771310061</v>
          </cell>
          <cell r="EK23">
            <v>4514455.7093431046</v>
          </cell>
          <cell r="EL23">
            <v>4554291</v>
          </cell>
          <cell r="EM23">
            <v>-39835.290656895377</v>
          </cell>
          <cell r="EN23">
            <v>-8.7467600680095712E-3</v>
          </cell>
          <cell r="EO23">
            <v>25383.709343104623</v>
          </cell>
          <cell r="EP23">
            <v>731204.90934310481</v>
          </cell>
          <cell r="EQ23">
            <v>4430504.5893431045</v>
          </cell>
          <cell r="ER23">
            <v>3468307.1493431041</v>
          </cell>
          <cell r="ES23">
            <v>14511.745394741021</v>
          </cell>
          <cell r="ET23">
            <v>450171</v>
          </cell>
          <cell r="EU23">
            <v>48</v>
          </cell>
          <cell r="EV23">
            <v>12106.360991325153</v>
          </cell>
          <cell r="EW23">
            <v>191</v>
          </cell>
        </row>
        <row r="24">
          <cell r="A24">
            <v>239</v>
          </cell>
          <cell r="B24" t="str">
            <v>Garrison ES</v>
          </cell>
          <cell r="C24" t="str">
            <v>ES</v>
          </cell>
          <cell r="D24">
            <v>2</v>
          </cell>
          <cell r="E24">
            <v>336</v>
          </cell>
          <cell r="F24">
            <v>0.41699999999999998</v>
          </cell>
          <cell r="G24">
            <v>140</v>
          </cell>
          <cell r="H24">
            <v>195277</v>
          </cell>
          <cell r="I24">
            <v>112569</v>
          </cell>
          <cell r="J24">
            <v>125223</v>
          </cell>
          <cell r="M24">
            <v>90879</v>
          </cell>
          <cell r="N24">
            <v>67876</v>
          </cell>
          <cell r="S24">
            <v>78183</v>
          </cell>
          <cell r="T24">
            <v>60194</v>
          </cell>
          <cell r="U24">
            <v>101190</v>
          </cell>
          <cell r="V24">
            <v>112569</v>
          </cell>
          <cell r="W24">
            <v>56284.54</v>
          </cell>
          <cell r="X24">
            <v>337707</v>
          </cell>
          <cell r="Z24">
            <v>225138</v>
          </cell>
          <cell r="AA24">
            <v>112569</v>
          </cell>
          <cell r="AB24">
            <v>225138</v>
          </cell>
          <cell r="AC24">
            <v>187440</v>
          </cell>
          <cell r="AD24">
            <v>112464</v>
          </cell>
          <cell r="AE24">
            <v>1463397</v>
          </cell>
          <cell r="AG24">
            <v>112569</v>
          </cell>
          <cell r="AH24">
            <v>112569</v>
          </cell>
          <cell r="AI24">
            <v>900552</v>
          </cell>
          <cell r="AJ24">
            <v>224928</v>
          </cell>
          <cell r="AM24">
            <v>450276</v>
          </cell>
          <cell r="AR24">
            <v>13600</v>
          </cell>
          <cell r="AS24">
            <v>13600</v>
          </cell>
          <cell r="AT24">
            <v>10200</v>
          </cell>
          <cell r="AW24">
            <v>40800</v>
          </cell>
          <cell r="AX24">
            <v>152352.79</v>
          </cell>
          <cell r="AZ24">
            <v>0</v>
          </cell>
          <cell r="BU24">
            <v>55922</v>
          </cell>
          <cell r="BY24">
            <v>2797</v>
          </cell>
          <cell r="BZ24">
            <v>1932</v>
          </cell>
          <cell r="CA24">
            <v>1680</v>
          </cell>
          <cell r="CB24">
            <v>1680</v>
          </cell>
          <cell r="CC24">
            <v>1932</v>
          </cell>
          <cell r="CD24">
            <v>6720</v>
          </cell>
          <cell r="CM24">
            <v>33600</v>
          </cell>
          <cell r="CN24">
            <v>85268</v>
          </cell>
          <cell r="CO24">
            <v>5297</v>
          </cell>
          <cell r="CY24">
            <v>4050</v>
          </cell>
          <cell r="DC24">
            <v>112569</v>
          </cell>
          <cell r="DD24">
            <v>6008991.3300000001</v>
          </cell>
          <cell r="DE24">
            <v>-168844.28000000026</v>
          </cell>
          <cell r="DF24">
            <v>5840147.0499999998</v>
          </cell>
          <cell r="DG24">
            <v>151292.96</v>
          </cell>
          <cell r="DH24">
            <v>50000</v>
          </cell>
          <cell r="DI24">
            <v>5840147.0499999998</v>
          </cell>
          <cell r="DJ24">
            <v>6041440.0099999998</v>
          </cell>
          <cell r="DK24">
            <v>3562639.54</v>
          </cell>
          <cell r="DL24">
            <v>354412.9</v>
          </cell>
          <cell r="DM24">
            <v>37400</v>
          </cell>
          <cell r="DN24">
            <v>6847</v>
          </cell>
          <cell r="DO24">
            <v>310165.90000000002</v>
          </cell>
          <cell r="DP24">
            <v>0.87515409286738721</v>
          </cell>
          <cell r="DQ24">
            <v>3492040.64</v>
          </cell>
          <cell r="DR24">
            <v>1350618</v>
          </cell>
          <cell r="DS24">
            <v>450276</v>
          </cell>
          <cell r="DT24">
            <v>193152.79</v>
          </cell>
          <cell r="DU24">
            <v>0</v>
          </cell>
          <cell r="DV24">
            <v>0</v>
          </cell>
          <cell r="DW24">
            <v>0</v>
          </cell>
          <cell r="DX24">
            <v>55922</v>
          </cell>
          <cell r="DY24">
            <v>-56275.280000000261</v>
          </cell>
          <cell r="DZ24">
            <v>201292.96</v>
          </cell>
          <cell r="EA24">
            <v>310165.90000000002</v>
          </cell>
          <cell r="EB24">
            <v>0.87515409286738721</v>
          </cell>
          <cell r="EC24">
            <v>37400</v>
          </cell>
          <cell r="ED24">
            <v>6847</v>
          </cell>
          <cell r="EE24">
            <v>354412.9</v>
          </cell>
          <cell r="EF24">
            <v>6041440.8851540936</v>
          </cell>
          <cell r="EH24">
            <v>3435765.36</v>
          </cell>
          <cell r="EI24">
            <v>10225.492142857143</v>
          </cell>
          <cell r="EJ24">
            <v>9890.4653571428571</v>
          </cell>
          <cell r="EK24">
            <v>5840147.0499999998</v>
          </cell>
          <cell r="EL24">
            <v>5336962</v>
          </cell>
          <cell r="EM24">
            <v>503185.04999999981</v>
          </cell>
          <cell r="EN24">
            <v>9.4283049045505635E-2</v>
          </cell>
          <cell r="EO24">
            <v>503185.04999999981</v>
          </cell>
          <cell r="EP24">
            <v>704478.00999999978</v>
          </cell>
          <cell r="EQ24">
            <v>5646994.2599999998</v>
          </cell>
          <cell r="ER24">
            <v>3637058.32</v>
          </cell>
          <cell r="ES24">
            <v>10824.578333333333</v>
          </cell>
          <cell r="ET24">
            <v>750285</v>
          </cell>
          <cell r="EU24">
            <v>76</v>
          </cell>
          <cell r="EV24">
            <v>10328.770615384616</v>
          </cell>
          <cell r="EW24">
            <v>260</v>
          </cell>
        </row>
        <row r="25">
          <cell r="A25">
            <v>227</v>
          </cell>
          <cell r="B25" t="str">
            <v>H.D. Cooke ES</v>
          </cell>
          <cell r="C25" t="str">
            <v>ES</v>
          </cell>
          <cell r="D25">
            <v>1</v>
          </cell>
          <cell r="E25">
            <v>410</v>
          </cell>
          <cell r="F25">
            <v>0.51200000000000001</v>
          </cell>
          <cell r="G25">
            <v>210</v>
          </cell>
          <cell r="H25">
            <v>195277</v>
          </cell>
          <cell r="I25">
            <v>112569</v>
          </cell>
          <cell r="J25">
            <v>156529</v>
          </cell>
          <cell r="M25">
            <v>90879</v>
          </cell>
          <cell r="N25">
            <v>67876</v>
          </cell>
          <cell r="O25">
            <v>50639</v>
          </cell>
          <cell r="S25">
            <v>78183</v>
          </cell>
          <cell r="T25">
            <v>60194</v>
          </cell>
          <cell r="U25">
            <v>101190</v>
          </cell>
          <cell r="V25">
            <v>112569</v>
          </cell>
          <cell r="X25">
            <v>506561</v>
          </cell>
          <cell r="Y25">
            <v>56284</v>
          </cell>
          <cell r="Z25">
            <v>225138</v>
          </cell>
          <cell r="AB25">
            <v>337707</v>
          </cell>
          <cell r="AC25">
            <v>187440</v>
          </cell>
          <cell r="AD25">
            <v>112464</v>
          </cell>
          <cell r="AE25">
            <v>1913673</v>
          </cell>
          <cell r="AG25">
            <v>112569</v>
          </cell>
          <cell r="AH25">
            <v>225138</v>
          </cell>
          <cell r="AI25">
            <v>787983</v>
          </cell>
          <cell r="AJ25">
            <v>149952</v>
          </cell>
          <cell r="AM25">
            <v>1013121</v>
          </cell>
          <cell r="AP25">
            <v>112569</v>
          </cell>
          <cell r="AW25">
            <v>0</v>
          </cell>
          <cell r="AX25">
            <v>185906.97</v>
          </cell>
          <cell r="AZ25">
            <v>0</v>
          </cell>
          <cell r="BU25">
            <v>55922</v>
          </cell>
          <cell r="BY25">
            <v>4192</v>
          </cell>
          <cell r="BZ25">
            <v>2358</v>
          </cell>
          <cell r="CA25">
            <v>2050</v>
          </cell>
          <cell r="CB25">
            <v>2050</v>
          </cell>
          <cell r="CC25">
            <v>2358</v>
          </cell>
          <cell r="CD25">
            <v>8200</v>
          </cell>
          <cell r="CI25">
            <v>117087</v>
          </cell>
          <cell r="CM25">
            <v>41000</v>
          </cell>
          <cell r="CN25">
            <v>108941</v>
          </cell>
          <cell r="CO25">
            <v>6440</v>
          </cell>
          <cell r="CY25">
            <v>10575</v>
          </cell>
          <cell r="DC25">
            <v>0</v>
          </cell>
          <cell r="DD25">
            <v>7313583.9699999997</v>
          </cell>
          <cell r="DE25">
            <v>11.793329999782145</v>
          </cell>
          <cell r="DF25">
            <v>7313595.7633299995</v>
          </cell>
          <cell r="DG25">
            <v>177307.99</v>
          </cell>
          <cell r="DH25">
            <v>156529</v>
          </cell>
          <cell r="DI25">
            <v>7313595.7633299995</v>
          </cell>
          <cell r="DJ25">
            <v>7647432.7533299997</v>
          </cell>
          <cell r="DK25">
            <v>4242718</v>
          </cell>
          <cell r="DL25">
            <v>531619.5</v>
          </cell>
          <cell r="DM25">
            <v>0</v>
          </cell>
          <cell r="DN25">
            <v>71051</v>
          </cell>
          <cell r="DO25">
            <v>460568.5</v>
          </cell>
          <cell r="DP25">
            <v>0.86634989875277335</v>
          </cell>
          <cell r="DQ25">
            <v>4138803.5</v>
          </cell>
          <cell r="DR25">
            <v>1275642</v>
          </cell>
          <cell r="DS25">
            <v>1125690</v>
          </cell>
          <cell r="DT25">
            <v>185906.97</v>
          </cell>
          <cell r="DU25">
            <v>0</v>
          </cell>
          <cell r="DV25">
            <v>0</v>
          </cell>
          <cell r="DW25">
            <v>0</v>
          </cell>
          <cell r="DX25">
            <v>55922</v>
          </cell>
          <cell r="DY25">
            <v>11.793329999782145</v>
          </cell>
          <cell r="DZ25">
            <v>333836.99</v>
          </cell>
          <cell r="EA25">
            <v>460568.5</v>
          </cell>
          <cell r="EB25">
            <v>0.86634989875277335</v>
          </cell>
          <cell r="EC25">
            <v>0</v>
          </cell>
          <cell r="ED25">
            <v>71051</v>
          </cell>
          <cell r="EE25">
            <v>531619.5</v>
          </cell>
          <cell r="EF25">
            <v>7647433.619679899</v>
          </cell>
          <cell r="EH25">
            <v>4138815.2933299998</v>
          </cell>
          <cell r="EI25">
            <v>10094.67144714634</v>
          </cell>
          <cell r="EJ25">
            <v>10094.67144714634</v>
          </cell>
          <cell r="EK25">
            <v>7313595.7633299995</v>
          </cell>
          <cell r="EL25">
            <v>6859346</v>
          </cell>
          <cell r="EM25">
            <v>454249.76332999952</v>
          </cell>
          <cell r="EN25">
            <v>6.6223480099997803E-2</v>
          </cell>
          <cell r="EO25">
            <v>454249.76332999952</v>
          </cell>
          <cell r="EP25">
            <v>788086.75332999974</v>
          </cell>
          <cell r="EQ25">
            <v>7127688.7933299998</v>
          </cell>
          <cell r="ER25">
            <v>4472652.28333</v>
          </cell>
          <cell r="ES25">
            <v>10908.908008121951</v>
          </cell>
          <cell r="ET25">
            <v>750285</v>
          </cell>
          <cell r="EU25">
            <v>86</v>
          </cell>
          <cell r="EV25">
            <v>10458.426831265431</v>
          </cell>
          <cell r="EW25">
            <v>324</v>
          </cell>
        </row>
        <row r="26">
          <cell r="A26">
            <v>258</v>
          </cell>
          <cell r="B26" t="str">
            <v>Hearst ES</v>
          </cell>
          <cell r="C26" t="str">
            <v>ES</v>
          </cell>
          <cell r="D26">
            <v>3</v>
          </cell>
          <cell r="E26">
            <v>354</v>
          </cell>
          <cell r="F26">
            <v>6.5000000000000002E-2</v>
          </cell>
          <cell r="G26">
            <v>23</v>
          </cell>
          <cell r="H26">
            <v>195277</v>
          </cell>
          <cell r="I26">
            <v>112569</v>
          </cell>
          <cell r="J26">
            <v>140876</v>
          </cell>
          <cell r="M26">
            <v>90879</v>
          </cell>
          <cell r="N26">
            <v>67876</v>
          </cell>
          <cell r="S26">
            <v>78183</v>
          </cell>
          <cell r="T26">
            <v>60194</v>
          </cell>
          <cell r="U26">
            <v>101190</v>
          </cell>
          <cell r="V26">
            <v>112569</v>
          </cell>
          <cell r="X26">
            <v>337707</v>
          </cell>
          <cell r="AB26">
            <v>225138</v>
          </cell>
          <cell r="AC26">
            <v>74976</v>
          </cell>
          <cell r="AD26">
            <v>112464</v>
          </cell>
          <cell r="AE26">
            <v>1801104</v>
          </cell>
          <cell r="AG26">
            <v>112569</v>
          </cell>
          <cell r="AH26">
            <v>112569</v>
          </cell>
          <cell r="AI26">
            <v>675414</v>
          </cell>
          <cell r="AJ26">
            <v>224928</v>
          </cell>
          <cell r="AM26">
            <v>450276</v>
          </cell>
          <cell r="AW26">
            <v>0</v>
          </cell>
          <cell r="AX26">
            <v>0</v>
          </cell>
          <cell r="AY26">
            <v>8850</v>
          </cell>
          <cell r="AZ26">
            <v>0</v>
          </cell>
          <cell r="BU26">
            <v>55922</v>
          </cell>
          <cell r="BZ26">
            <v>2036</v>
          </cell>
          <cell r="CA26">
            <v>1770</v>
          </cell>
          <cell r="CB26">
            <v>1770</v>
          </cell>
          <cell r="CC26">
            <v>2036</v>
          </cell>
          <cell r="CD26">
            <v>7080</v>
          </cell>
          <cell r="CM26">
            <v>35400</v>
          </cell>
          <cell r="CN26">
            <v>81897</v>
          </cell>
          <cell r="CO26">
            <v>3351</v>
          </cell>
          <cell r="CY26">
            <v>3325</v>
          </cell>
          <cell r="DC26">
            <v>0</v>
          </cell>
          <cell r="DD26">
            <v>5290195</v>
          </cell>
          <cell r="DE26">
            <v>8.9599999999627471</v>
          </cell>
          <cell r="DF26">
            <v>5290203.96</v>
          </cell>
          <cell r="DG26">
            <v>35794.639999999999</v>
          </cell>
          <cell r="DH26">
            <v>112569</v>
          </cell>
          <cell r="DI26">
            <v>5290203.96</v>
          </cell>
          <cell r="DJ26">
            <v>5438567.5999999996</v>
          </cell>
          <cell r="DK26">
            <v>3406775</v>
          </cell>
          <cell r="DL26">
            <v>58225</v>
          </cell>
          <cell r="DM26">
            <v>0</v>
          </cell>
          <cell r="DN26">
            <v>3325</v>
          </cell>
          <cell r="DO26">
            <v>54900</v>
          </cell>
          <cell r="DP26">
            <v>0.94289394589952769</v>
          </cell>
          <cell r="DQ26">
            <v>3591442</v>
          </cell>
          <cell r="DR26">
            <v>1125480</v>
          </cell>
          <cell r="DS26">
            <v>450276</v>
          </cell>
          <cell r="DT26">
            <v>8850</v>
          </cell>
          <cell r="DU26">
            <v>0</v>
          </cell>
          <cell r="DV26">
            <v>0</v>
          </cell>
          <cell r="DW26">
            <v>0</v>
          </cell>
          <cell r="DX26">
            <v>55922</v>
          </cell>
          <cell r="DY26">
            <v>8.9599999999627471</v>
          </cell>
          <cell r="DZ26">
            <v>148363.64000000001</v>
          </cell>
          <cell r="EA26">
            <v>54900</v>
          </cell>
          <cell r="EB26">
            <v>0.94289394589952769</v>
          </cell>
          <cell r="EC26">
            <v>0</v>
          </cell>
          <cell r="ED26">
            <v>3325</v>
          </cell>
          <cell r="EE26">
            <v>58225</v>
          </cell>
          <cell r="EF26">
            <v>5438568.5428939452</v>
          </cell>
          <cell r="EH26">
            <v>3591450.96</v>
          </cell>
          <cell r="EI26">
            <v>10145.341694915254</v>
          </cell>
          <cell r="EJ26">
            <v>10145.341694915254</v>
          </cell>
          <cell r="EK26">
            <v>5290203.96</v>
          </cell>
          <cell r="EL26">
            <v>5053227</v>
          </cell>
          <cell r="EM26">
            <v>236976.95999999996</v>
          </cell>
          <cell r="EN26">
            <v>4.6896163580223083E-2</v>
          </cell>
          <cell r="EO26">
            <v>236976.95999999996</v>
          </cell>
          <cell r="EP26">
            <v>385340.59999999963</v>
          </cell>
          <cell r="EQ26">
            <v>5281353.96</v>
          </cell>
          <cell r="ER26">
            <v>3739814.6</v>
          </cell>
          <cell r="ES26">
            <v>10564.44802259887</v>
          </cell>
          <cell r="ET26">
            <v>300114</v>
          </cell>
          <cell r="EU26">
            <v>44</v>
          </cell>
          <cell r="EV26">
            <v>10617.216</v>
          </cell>
          <cell r="EW26">
            <v>310</v>
          </cell>
        </row>
        <row r="27">
          <cell r="A27">
            <v>249</v>
          </cell>
          <cell r="B27" t="str">
            <v>Hendley ES</v>
          </cell>
          <cell r="C27" t="str">
            <v>ES</v>
          </cell>
          <cell r="D27">
            <v>8</v>
          </cell>
          <cell r="E27">
            <v>310</v>
          </cell>
          <cell r="F27">
            <v>0.88700000000000001</v>
          </cell>
          <cell r="G27">
            <v>275</v>
          </cell>
          <cell r="H27">
            <v>195277</v>
          </cell>
          <cell r="I27">
            <v>112569</v>
          </cell>
          <cell r="J27">
            <v>125223</v>
          </cell>
          <cell r="M27">
            <v>90879</v>
          </cell>
          <cell r="N27">
            <v>67876</v>
          </cell>
          <cell r="S27">
            <v>78183</v>
          </cell>
          <cell r="T27">
            <v>60194</v>
          </cell>
          <cell r="U27">
            <v>101190</v>
          </cell>
          <cell r="V27">
            <v>112569</v>
          </cell>
          <cell r="W27">
            <v>112569.07</v>
          </cell>
          <cell r="X27">
            <v>337707</v>
          </cell>
          <cell r="Z27">
            <v>225138</v>
          </cell>
          <cell r="AB27">
            <v>225138</v>
          </cell>
          <cell r="AC27">
            <v>149952</v>
          </cell>
          <cell r="AD27">
            <v>74976</v>
          </cell>
          <cell r="AE27">
            <v>1463397</v>
          </cell>
          <cell r="AG27">
            <v>112569</v>
          </cell>
          <cell r="AH27">
            <v>112569</v>
          </cell>
          <cell r="AI27">
            <v>450276</v>
          </cell>
          <cell r="AN27">
            <v>5628</v>
          </cell>
          <cell r="AR27">
            <v>20400</v>
          </cell>
          <cell r="AS27">
            <v>20400</v>
          </cell>
          <cell r="AT27">
            <v>10200</v>
          </cell>
          <cell r="AW27">
            <v>40800</v>
          </cell>
          <cell r="AX27">
            <v>140565.87</v>
          </cell>
          <cell r="AZ27">
            <v>0</v>
          </cell>
          <cell r="BU27">
            <v>111844</v>
          </cell>
          <cell r="BY27">
            <v>11027</v>
          </cell>
          <cell r="BZ27">
            <v>1783</v>
          </cell>
          <cell r="CA27">
            <v>1550</v>
          </cell>
          <cell r="CB27">
            <v>1550</v>
          </cell>
          <cell r="CC27">
            <v>1783</v>
          </cell>
          <cell r="CD27">
            <v>6200</v>
          </cell>
          <cell r="CM27">
            <v>31000</v>
          </cell>
          <cell r="CN27">
            <v>66023</v>
          </cell>
          <cell r="CO27">
            <v>4825</v>
          </cell>
          <cell r="CV27">
            <v>13859</v>
          </cell>
          <cell r="CY27">
            <v>38625</v>
          </cell>
          <cell r="DA27">
            <v>690843</v>
          </cell>
          <cell r="DB27">
            <v>475000</v>
          </cell>
          <cell r="DC27">
            <v>110891</v>
          </cell>
          <cell r="DD27">
            <v>6013047.9400000004</v>
          </cell>
          <cell r="DE27">
            <v>-248688.96399089508</v>
          </cell>
          <cell r="DF27">
            <v>5764358.9760091053</v>
          </cell>
          <cell r="DG27">
            <v>206943.12</v>
          </cell>
          <cell r="DH27">
            <v>112569</v>
          </cell>
          <cell r="DI27">
            <v>5764358.9760091053</v>
          </cell>
          <cell r="DJ27">
            <v>6083871.0960091054</v>
          </cell>
          <cell r="DK27">
            <v>3407984.0700000003</v>
          </cell>
          <cell r="DL27">
            <v>696168</v>
          </cell>
          <cell r="DM27">
            <v>51000</v>
          </cell>
          <cell r="DN27">
            <v>49652</v>
          </cell>
          <cell r="DO27">
            <v>595516</v>
          </cell>
          <cell r="DP27">
            <v>0.85541995610254995</v>
          </cell>
          <cell r="DQ27">
            <v>3540894.0700000003</v>
          </cell>
          <cell r="DR27">
            <v>675414</v>
          </cell>
          <cell r="DS27">
            <v>5628</v>
          </cell>
          <cell r="DT27">
            <v>181365.87</v>
          </cell>
          <cell r="DU27">
            <v>0</v>
          </cell>
          <cell r="DV27">
            <v>0</v>
          </cell>
          <cell r="DW27">
            <v>690843</v>
          </cell>
          <cell r="DX27">
            <v>111844</v>
          </cell>
          <cell r="DY27">
            <v>-137797.96399089508</v>
          </cell>
          <cell r="DZ27">
            <v>319512.12</v>
          </cell>
          <cell r="EA27">
            <v>595516</v>
          </cell>
          <cell r="EB27">
            <v>0.85541995610254995</v>
          </cell>
          <cell r="EC27">
            <v>51000</v>
          </cell>
          <cell r="ED27">
            <v>49652</v>
          </cell>
          <cell r="EE27">
            <v>696168</v>
          </cell>
          <cell r="EF27">
            <v>6083871.9514290616</v>
          </cell>
          <cell r="EH27">
            <v>4093939.1060091052</v>
          </cell>
          <cell r="EI27">
            <v>13206.255180674532</v>
          </cell>
          <cell r="EJ27">
            <v>9087.7584064809853</v>
          </cell>
          <cell r="EK27">
            <v>5073515.9760091053</v>
          </cell>
          <cell r="EL27">
            <v>5534906</v>
          </cell>
          <cell r="EM27">
            <v>-461390.02399089467</v>
          </cell>
          <cell r="EN27">
            <v>-8.3360046944048319E-2</v>
          </cell>
          <cell r="EO27">
            <v>229452.97600910533</v>
          </cell>
          <cell r="EP27">
            <v>548965.09600910544</v>
          </cell>
          <cell r="EQ27">
            <v>5582993.1060091052</v>
          </cell>
          <cell r="ER27">
            <v>4413451.2260091053</v>
          </cell>
          <cell r="ES27">
            <v>14236.939438739049</v>
          </cell>
          <cell r="ET27">
            <v>600228</v>
          </cell>
          <cell r="EU27">
            <v>60</v>
          </cell>
          <cell r="EV27">
            <v>13974.844424036421</v>
          </cell>
          <cell r="EW27">
            <v>250</v>
          </cell>
        </row>
        <row r="28">
          <cell r="A28">
            <v>251</v>
          </cell>
          <cell r="B28" t="str">
            <v>Houston ES</v>
          </cell>
          <cell r="C28" t="str">
            <v>ES</v>
          </cell>
          <cell r="D28">
            <v>7</v>
          </cell>
          <cell r="E28">
            <v>282</v>
          </cell>
          <cell r="F28">
            <v>0.71599999999999997</v>
          </cell>
          <cell r="G28">
            <v>202</v>
          </cell>
          <cell r="H28">
            <v>195277</v>
          </cell>
          <cell r="I28">
            <v>112569</v>
          </cell>
          <cell r="M28">
            <v>45440</v>
          </cell>
          <cell r="N28">
            <v>67876</v>
          </cell>
          <cell r="S28">
            <v>78183</v>
          </cell>
          <cell r="T28">
            <v>60194</v>
          </cell>
          <cell r="U28">
            <v>50595</v>
          </cell>
          <cell r="V28">
            <v>56285</v>
          </cell>
          <cell r="X28">
            <v>337707</v>
          </cell>
          <cell r="Z28">
            <v>225138</v>
          </cell>
          <cell r="AB28">
            <v>225138</v>
          </cell>
          <cell r="AC28">
            <v>149952</v>
          </cell>
          <cell r="AD28">
            <v>74976</v>
          </cell>
          <cell r="AE28">
            <v>1350828</v>
          </cell>
          <cell r="AG28">
            <v>112569</v>
          </cell>
          <cell r="AH28">
            <v>112569</v>
          </cell>
          <cell r="AI28">
            <v>1013121</v>
          </cell>
          <cell r="AJ28">
            <v>449856</v>
          </cell>
          <cell r="AL28">
            <v>117087</v>
          </cell>
          <cell r="AN28">
            <v>20262</v>
          </cell>
          <cell r="AR28">
            <v>13600</v>
          </cell>
          <cell r="AS28">
            <v>13600</v>
          </cell>
          <cell r="AT28">
            <v>10200</v>
          </cell>
          <cell r="AW28">
            <v>40800</v>
          </cell>
          <cell r="AX28">
            <v>127869.3</v>
          </cell>
          <cell r="AZ28">
            <v>0</v>
          </cell>
          <cell r="BU28">
            <v>111844</v>
          </cell>
          <cell r="BY28">
            <v>4044</v>
          </cell>
          <cell r="BZ28">
            <v>1622</v>
          </cell>
          <cell r="CA28">
            <v>1410</v>
          </cell>
          <cell r="CB28">
            <v>1410</v>
          </cell>
          <cell r="CC28">
            <v>1622</v>
          </cell>
          <cell r="CD28">
            <v>5640</v>
          </cell>
          <cell r="CM28">
            <v>28200</v>
          </cell>
          <cell r="CN28">
            <v>78179</v>
          </cell>
          <cell r="CO28">
            <v>4472</v>
          </cell>
          <cell r="CY28">
            <v>17225</v>
          </cell>
          <cell r="DC28">
            <v>156529</v>
          </cell>
          <cell r="DD28">
            <v>5473888.2999999998</v>
          </cell>
          <cell r="DE28">
            <v>210.63759955763817</v>
          </cell>
          <cell r="DF28">
            <v>5474098.9375995575</v>
          </cell>
          <cell r="DG28">
            <v>215399.28</v>
          </cell>
          <cell r="DH28">
            <v>167583.5</v>
          </cell>
          <cell r="DI28">
            <v>5474098.9375995575</v>
          </cell>
          <cell r="DJ28">
            <v>5857081.7175995577</v>
          </cell>
          <cell r="DK28">
            <v>2963741</v>
          </cell>
          <cell r="DL28">
            <v>511366.73</v>
          </cell>
          <cell r="DM28">
            <v>37400</v>
          </cell>
          <cell r="DN28">
            <v>21269</v>
          </cell>
          <cell r="DO28">
            <v>452697.73</v>
          </cell>
          <cell r="DP28">
            <v>0.88527020520087418</v>
          </cell>
          <cell r="DQ28">
            <v>2700015.27</v>
          </cell>
          <cell r="DR28">
            <v>1805202</v>
          </cell>
          <cell r="DS28">
            <v>20262</v>
          </cell>
          <cell r="DT28">
            <v>168669.3</v>
          </cell>
          <cell r="DU28">
            <v>0</v>
          </cell>
          <cell r="DV28">
            <v>0</v>
          </cell>
          <cell r="DW28">
            <v>0</v>
          </cell>
          <cell r="DX28">
            <v>111844</v>
          </cell>
          <cell r="DY28">
            <v>156739.63759955764</v>
          </cell>
          <cell r="DZ28">
            <v>382982.78</v>
          </cell>
          <cell r="EA28">
            <v>452697.73</v>
          </cell>
          <cell r="EB28">
            <v>0.88527020520087418</v>
          </cell>
          <cell r="EC28">
            <v>37400</v>
          </cell>
          <cell r="ED28">
            <v>21269</v>
          </cell>
          <cell r="EE28">
            <v>511366.73</v>
          </cell>
          <cell r="EF28">
            <v>5857082.602869763</v>
          </cell>
          <cell r="EH28">
            <v>2856754.9075995577</v>
          </cell>
          <cell r="EI28">
            <v>10130.336551771481</v>
          </cell>
          <cell r="EJ28">
            <v>9575.269175884956</v>
          </cell>
          <cell r="EK28">
            <v>5474098.9375995575</v>
          </cell>
          <cell r="EL28">
            <v>5311728</v>
          </cell>
          <cell r="EM28">
            <v>162370.93759955745</v>
          </cell>
          <cell r="EN28">
            <v>3.056838332074938E-2</v>
          </cell>
          <cell r="EO28">
            <v>162370.93759955745</v>
          </cell>
          <cell r="EP28">
            <v>545353.71759955771</v>
          </cell>
          <cell r="EQ28">
            <v>5305429.6375995576</v>
          </cell>
          <cell r="ER28">
            <v>3239737.6875995575</v>
          </cell>
          <cell r="ES28">
            <v>11488.431516310487</v>
          </cell>
          <cell r="ET28">
            <v>600228</v>
          </cell>
          <cell r="EU28">
            <v>66</v>
          </cell>
          <cell r="EV28">
            <v>10446.883831479434</v>
          </cell>
          <cell r="EW28">
            <v>216</v>
          </cell>
        </row>
        <row r="29">
          <cell r="A29">
            <v>252</v>
          </cell>
          <cell r="B29" t="str">
            <v>Hyde-Addison ES</v>
          </cell>
          <cell r="C29" t="str">
            <v>ES</v>
          </cell>
          <cell r="D29">
            <v>2</v>
          </cell>
          <cell r="E29">
            <v>404</v>
          </cell>
          <cell r="F29">
            <v>0.111</v>
          </cell>
          <cell r="G29">
            <v>45</v>
          </cell>
          <cell r="H29">
            <v>195277</v>
          </cell>
          <cell r="I29">
            <v>112569</v>
          </cell>
          <cell r="J29">
            <v>156529</v>
          </cell>
          <cell r="M29">
            <v>90879</v>
          </cell>
          <cell r="N29">
            <v>67876</v>
          </cell>
          <cell r="O29">
            <v>50639</v>
          </cell>
          <cell r="S29">
            <v>78183</v>
          </cell>
          <cell r="T29">
            <v>60194</v>
          </cell>
          <cell r="U29">
            <v>101190</v>
          </cell>
          <cell r="V29">
            <v>112569</v>
          </cell>
          <cell r="W29">
            <v>112569.07</v>
          </cell>
          <cell r="X29">
            <v>506561</v>
          </cell>
          <cell r="Z29">
            <v>112569</v>
          </cell>
          <cell r="AB29">
            <v>225138</v>
          </cell>
          <cell r="AC29">
            <v>112464</v>
          </cell>
          <cell r="AD29">
            <v>112464</v>
          </cell>
          <cell r="AE29">
            <v>1913673</v>
          </cell>
          <cell r="AG29">
            <v>112569</v>
          </cell>
          <cell r="AH29">
            <v>112569</v>
          </cell>
          <cell r="AI29">
            <v>337707</v>
          </cell>
          <cell r="AM29">
            <v>225138</v>
          </cell>
          <cell r="AW29">
            <v>0</v>
          </cell>
          <cell r="AX29">
            <v>0</v>
          </cell>
          <cell r="AY29">
            <v>10100</v>
          </cell>
          <cell r="AZ29">
            <v>0</v>
          </cell>
          <cell r="BU29">
            <v>111844</v>
          </cell>
          <cell r="BZ29">
            <v>2323</v>
          </cell>
          <cell r="CA29">
            <v>2020</v>
          </cell>
          <cell r="CB29">
            <v>2020</v>
          </cell>
          <cell r="CC29">
            <v>2323</v>
          </cell>
          <cell r="CD29">
            <v>8080</v>
          </cell>
          <cell r="CM29">
            <v>40400</v>
          </cell>
          <cell r="CN29">
            <v>77228</v>
          </cell>
          <cell r="CO29">
            <v>3471</v>
          </cell>
          <cell r="CY29">
            <v>4375</v>
          </cell>
          <cell r="DC29">
            <v>0</v>
          </cell>
          <cell r="DD29">
            <v>5173510.07</v>
          </cell>
          <cell r="DE29">
            <v>-112560.74333299976</v>
          </cell>
          <cell r="DF29">
            <v>5060949.3266670005</v>
          </cell>
          <cell r="DG29">
            <v>62800.22</v>
          </cell>
          <cell r="DH29">
            <v>37488</v>
          </cell>
          <cell r="DI29">
            <v>5060949.3266670005</v>
          </cell>
          <cell r="DJ29">
            <v>5161237.5466670003</v>
          </cell>
          <cell r="DK29">
            <v>4019641.0700000003</v>
          </cell>
          <cell r="DL29">
            <v>113918</v>
          </cell>
          <cell r="DM29">
            <v>0</v>
          </cell>
          <cell r="DN29">
            <v>4375</v>
          </cell>
          <cell r="DO29">
            <v>109543</v>
          </cell>
          <cell r="DP29">
            <v>0.96159518249969278</v>
          </cell>
          <cell r="DQ29">
            <v>4149665.0700000003</v>
          </cell>
          <cell r="DR29">
            <v>562845</v>
          </cell>
          <cell r="DS29">
            <v>225138</v>
          </cell>
          <cell r="DT29">
            <v>10100</v>
          </cell>
          <cell r="DU29">
            <v>0</v>
          </cell>
          <cell r="DV29">
            <v>0</v>
          </cell>
          <cell r="DW29">
            <v>0</v>
          </cell>
          <cell r="DX29">
            <v>111844</v>
          </cell>
          <cell r="DY29">
            <v>-112560.74333299976</v>
          </cell>
          <cell r="DZ29">
            <v>100288.22</v>
          </cell>
          <cell r="EA29">
            <v>109543</v>
          </cell>
          <cell r="EB29">
            <v>0.96159518249969278</v>
          </cell>
          <cell r="EC29">
            <v>0</v>
          </cell>
          <cell r="ED29">
            <v>4375</v>
          </cell>
          <cell r="EE29">
            <v>113918</v>
          </cell>
          <cell r="EF29">
            <v>5161238.5082621826</v>
          </cell>
          <cell r="EH29">
            <v>4037104.3266670005</v>
          </cell>
          <cell r="EI29">
            <v>9992.8324917500013</v>
          </cell>
          <cell r="EJ29">
            <v>9992.8324917500013</v>
          </cell>
          <cell r="EK29">
            <v>5060949.3266670005</v>
          </cell>
          <cell r="EL29">
            <v>4783590</v>
          </cell>
          <cell r="EM29">
            <v>277359.32666700054</v>
          </cell>
          <cell r="EN29">
            <v>5.7981417025079605E-2</v>
          </cell>
          <cell r="EO29">
            <v>277359.32666700054</v>
          </cell>
          <cell r="EP29">
            <v>377647.54666700028</v>
          </cell>
          <cell r="EQ29">
            <v>5050849.3266670005</v>
          </cell>
          <cell r="ER29">
            <v>4137392.5466670007</v>
          </cell>
          <cell r="ES29">
            <v>10241.070660066833</v>
          </cell>
          <cell r="ET29">
            <v>450171</v>
          </cell>
          <cell r="EU29">
            <v>53</v>
          </cell>
          <cell r="EV29">
            <v>10219.183266857552</v>
          </cell>
          <cell r="EW29">
            <v>351</v>
          </cell>
        </row>
        <row r="30">
          <cell r="A30">
            <v>339</v>
          </cell>
          <cell r="B30" t="str">
            <v>J.O. Wilson ES</v>
          </cell>
          <cell r="C30" t="str">
            <v>ES</v>
          </cell>
          <cell r="D30">
            <v>6</v>
          </cell>
          <cell r="E30">
            <v>439</v>
          </cell>
          <cell r="F30">
            <v>0.52200000000000002</v>
          </cell>
          <cell r="G30">
            <v>229</v>
          </cell>
          <cell r="H30">
            <v>195277</v>
          </cell>
          <cell r="I30">
            <v>112569</v>
          </cell>
          <cell r="J30">
            <v>172182</v>
          </cell>
          <cell r="M30">
            <v>90879</v>
          </cell>
          <cell r="N30">
            <v>67876</v>
          </cell>
          <cell r="O30">
            <v>55703</v>
          </cell>
          <cell r="S30">
            <v>78183</v>
          </cell>
          <cell r="T30">
            <v>60194</v>
          </cell>
          <cell r="U30">
            <v>101190</v>
          </cell>
          <cell r="V30">
            <v>112569</v>
          </cell>
          <cell r="W30">
            <v>112569.07</v>
          </cell>
          <cell r="X30">
            <v>506561</v>
          </cell>
          <cell r="Z30">
            <v>337707</v>
          </cell>
          <cell r="AA30">
            <v>112569</v>
          </cell>
          <cell r="AB30">
            <v>337707</v>
          </cell>
          <cell r="AC30">
            <v>262416</v>
          </cell>
          <cell r="AD30">
            <v>112464</v>
          </cell>
          <cell r="AE30">
            <v>2026242</v>
          </cell>
          <cell r="AG30">
            <v>112569</v>
          </cell>
          <cell r="AH30">
            <v>225138</v>
          </cell>
          <cell r="AI30">
            <v>1125690</v>
          </cell>
          <cell r="AJ30">
            <v>187440</v>
          </cell>
          <cell r="AM30">
            <v>112569</v>
          </cell>
          <cell r="AR30">
            <v>13600</v>
          </cell>
          <cell r="AS30">
            <v>3400</v>
          </cell>
          <cell r="AT30">
            <v>10200</v>
          </cell>
          <cell r="AW30">
            <v>51000</v>
          </cell>
          <cell r="AX30">
            <v>199058.65</v>
          </cell>
          <cell r="AZ30">
            <v>0</v>
          </cell>
          <cell r="BD30">
            <v>112569</v>
          </cell>
          <cell r="BU30">
            <v>111844</v>
          </cell>
          <cell r="BY30">
            <v>4586</v>
          </cell>
          <cell r="BZ30">
            <v>2524</v>
          </cell>
          <cell r="CA30">
            <v>2195</v>
          </cell>
          <cell r="CB30">
            <v>2195</v>
          </cell>
          <cell r="CC30">
            <v>2524</v>
          </cell>
          <cell r="CD30">
            <v>8780</v>
          </cell>
          <cell r="CM30">
            <v>43900</v>
          </cell>
          <cell r="CN30">
            <v>104742</v>
          </cell>
          <cell r="CO30">
            <v>6688</v>
          </cell>
          <cell r="CY30">
            <v>21725</v>
          </cell>
          <cell r="DC30">
            <v>112569</v>
          </cell>
          <cell r="DD30">
            <v>7432362.7200000007</v>
          </cell>
          <cell r="DE30">
            <v>-225127.55000000075</v>
          </cell>
          <cell r="DF30">
            <v>7207235.1699999999</v>
          </cell>
          <cell r="DG30">
            <v>168767.02</v>
          </cell>
          <cell r="DH30">
            <v>70306</v>
          </cell>
          <cell r="DI30">
            <v>7207235.1699999999</v>
          </cell>
          <cell r="DJ30">
            <v>7446308.1899999995</v>
          </cell>
          <cell r="DK30">
            <v>4788838.07</v>
          </cell>
          <cell r="DL30">
            <v>579717.68999999994</v>
          </cell>
          <cell r="DM30">
            <v>27200</v>
          </cell>
          <cell r="DN30">
            <v>138880</v>
          </cell>
          <cell r="DO30">
            <v>413637.68999999994</v>
          </cell>
          <cell r="DP30">
            <v>0.71351572866441249</v>
          </cell>
          <cell r="DQ30">
            <v>4614767.3800000008</v>
          </cell>
          <cell r="DR30">
            <v>1650837</v>
          </cell>
          <cell r="DS30">
            <v>112569</v>
          </cell>
          <cell r="DT30">
            <v>250058.65</v>
          </cell>
          <cell r="DU30">
            <v>0</v>
          </cell>
          <cell r="DV30">
            <v>0</v>
          </cell>
          <cell r="DW30">
            <v>0</v>
          </cell>
          <cell r="DX30">
            <v>111844</v>
          </cell>
          <cell r="DY30">
            <v>-112558.55000000075</v>
          </cell>
          <cell r="DZ30">
            <v>239073.02</v>
          </cell>
          <cell r="EA30">
            <v>413637.68999999994</v>
          </cell>
          <cell r="EB30">
            <v>0.71351572866441249</v>
          </cell>
          <cell r="EC30">
            <v>27200</v>
          </cell>
          <cell r="ED30">
            <v>138880</v>
          </cell>
          <cell r="EE30">
            <v>579717.68999999994</v>
          </cell>
          <cell r="EF30">
            <v>7446308.9035157282</v>
          </cell>
          <cell r="EH30">
            <v>4502208.83</v>
          </cell>
          <cell r="EI30">
            <v>10255.60097949886</v>
          </cell>
          <cell r="EJ30">
            <v>9999.1795671981781</v>
          </cell>
          <cell r="EK30">
            <v>7207235.1699999999</v>
          </cell>
          <cell r="EL30">
            <v>7095881</v>
          </cell>
          <cell r="EM30">
            <v>111354.16999999993</v>
          </cell>
          <cell r="EN30">
            <v>1.569278994391252E-2</v>
          </cell>
          <cell r="EO30">
            <v>111354.16999999993</v>
          </cell>
          <cell r="EP30">
            <v>350427.18999999948</v>
          </cell>
          <cell r="EQ30">
            <v>6957176.5199999996</v>
          </cell>
          <cell r="ER30">
            <v>4741281.8499999996</v>
          </cell>
          <cell r="ES30">
            <v>10800.186446469248</v>
          </cell>
          <cell r="ET30">
            <v>1050399</v>
          </cell>
          <cell r="EU30">
            <v>106</v>
          </cell>
          <cell r="EV30">
            <v>10365.795285285285</v>
          </cell>
          <cell r="EW30">
            <v>333</v>
          </cell>
        </row>
        <row r="31">
          <cell r="A31">
            <v>254</v>
          </cell>
          <cell r="B31" t="str">
            <v>Janney ES</v>
          </cell>
          <cell r="C31" t="str">
            <v>ES</v>
          </cell>
          <cell r="D31">
            <v>3</v>
          </cell>
          <cell r="E31">
            <v>718</v>
          </cell>
          <cell r="F31">
            <v>2.5999999999999999E-2</v>
          </cell>
          <cell r="G31">
            <v>19</v>
          </cell>
          <cell r="H31">
            <v>195277</v>
          </cell>
          <cell r="I31">
            <v>112569</v>
          </cell>
          <cell r="J31">
            <v>281752</v>
          </cell>
          <cell r="M31">
            <v>90879</v>
          </cell>
          <cell r="N31">
            <v>67876</v>
          </cell>
          <cell r="O31">
            <v>91150</v>
          </cell>
          <cell r="S31">
            <v>78183</v>
          </cell>
          <cell r="T31">
            <v>60194</v>
          </cell>
          <cell r="U31">
            <v>151785</v>
          </cell>
          <cell r="V31">
            <v>112569</v>
          </cell>
          <cell r="X31">
            <v>619130</v>
          </cell>
          <cell r="Y31">
            <v>112569</v>
          </cell>
          <cell r="AB31">
            <v>337707</v>
          </cell>
          <cell r="AC31">
            <v>112464</v>
          </cell>
          <cell r="AD31">
            <v>187440</v>
          </cell>
          <cell r="AE31">
            <v>3489639</v>
          </cell>
          <cell r="AG31">
            <v>112569</v>
          </cell>
          <cell r="AH31">
            <v>112569</v>
          </cell>
          <cell r="AI31">
            <v>675414</v>
          </cell>
          <cell r="AM31">
            <v>112569</v>
          </cell>
          <cell r="AW31">
            <v>0</v>
          </cell>
          <cell r="AX31">
            <v>0</v>
          </cell>
          <cell r="AY31">
            <v>17950</v>
          </cell>
          <cell r="AZ31">
            <v>0</v>
          </cell>
          <cell r="BU31">
            <v>111844</v>
          </cell>
          <cell r="BZ31">
            <v>4129</v>
          </cell>
          <cell r="CA31">
            <v>3590</v>
          </cell>
          <cell r="CB31">
            <v>3590</v>
          </cell>
          <cell r="CC31">
            <v>4129</v>
          </cell>
          <cell r="CD31">
            <v>14360</v>
          </cell>
          <cell r="CM31">
            <v>71800</v>
          </cell>
          <cell r="CN31">
            <v>114541</v>
          </cell>
          <cell r="CO31">
            <v>6653</v>
          </cell>
          <cell r="CT31">
            <v>18249</v>
          </cell>
          <cell r="CY31">
            <v>1400</v>
          </cell>
          <cell r="DA31">
            <v>15695</v>
          </cell>
          <cell r="DB31">
            <v>225138</v>
          </cell>
          <cell r="DC31">
            <v>225138</v>
          </cell>
          <cell r="DD31">
            <v>7952510</v>
          </cell>
          <cell r="DE31">
            <v>10.55333299934864</v>
          </cell>
          <cell r="DF31">
            <v>7952520.5533329993</v>
          </cell>
          <cell r="DG31">
            <v>53537.33</v>
          </cell>
          <cell r="DH31">
            <v>0</v>
          </cell>
          <cell r="DI31">
            <v>7952520.5533329993</v>
          </cell>
          <cell r="DJ31">
            <v>8006057.8833329994</v>
          </cell>
          <cell r="DK31">
            <v>5921244</v>
          </cell>
          <cell r="DL31">
            <v>48099</v>
          </cell>
          <cell r="DM31">
            <v>0</v>
          </cell>
          <cell r="DN31">
            <v>113969</v>
          </cell>
          <cell r="DO31">
            <v>-65870</v>
          </cell>
          <cell r="DP31">
            <v>-1.3694671406889956</v>
          </cell>
          <cell r="DQ31">
            <v>6502414</v>
          </cell>
          <cell r="DR31">
            <v>900552</v>
          </cell>
          <cell r="DS31">
            <v>112569</v>
          </cell>
          <cell r="DT31">
            <v>17950</v>
          </cell>
          <cell r="DU31">
            <v>0</v>
          </cell>
          <cell r="DV31">
            <v>18249</v>
          </cell>
          <cell r="DW31">
            <v>15695</v>
          </cell>
          <cell r="DX31">
            <v>111844</v>
          </cell>
          <cell r="DY31">
            <v>225148.55333299935</v>
          </cell>
          <cell r="DZ31">
            <v>53537.33</v>
          </cell>
          <cell r="EA31">
            <v>-65870</v>
          </cell>
          <cell r="EB31">
            <v>-1.3694671406889956</v>
          </cell>
          <cell r="EC31">
            <v>0</v>
          </cell>
          <cell r="ED31">
            <v>113969</v>
          </cell>
          <cell r="EE31">
            <v>48099</v>
          </cell>
          <cell r="EF31">
            <v>8006056.5138658583</v>
          </cell>
          <cell r="EH31">
            <v>6761506.5533329993</v>
          </cell>
          <cell r="EI31">
            <v>9417.1400464247909</v>
          </cell>
          <cell r="EJ31">
            <v>8768.1553667590524</v>
          </cell>
          <cell r="EK31">
            <v>7936825.5533329993</v>
          </cell>
          <cell r="EL31">
            <v>7897100</v>
          </cell>
          <cell r="EM31">
            <v>39725.553332999349</v>
          </cell>
          <cell r="EN31">
            <v>5.0303976564814107E-3</v>
          </cell>
          <cell r="EO31">
            <v>55420.553332999349</v>
          </cell>
          <cell r="EP31">
            <v>108957.88333299942</v>
          </cell>
          <cell r="EQ31">
            <v>7934570.5533329993</v>
          </cell>
          <cell r="ER31">
            <v>6815043.8833329994</v>
          </cell>
          <cell r="ES31">
            <v>9491.7045728871853</v>
          </cell>
          <cell r="ET31">
            <v>450171</v>
          </cell>
          <cell r="EU31">
            <v>58</v>
          </cell>
          <cell r="EV31">
            <v>9562.6296262621199</v>
          </cell>
          <cell r="EW31">
            <v>660</v>
          </cell>
        </row>
        <row r="32">
          <cell r="A32">
            <v>257</v>
          </cell>
          <cell r="B32" t="str">
            <v>Ketcham ES</v>
          </cell>
          <cell r="C32" t="str">
            <v>ES</v>
          </cell>
          <cell r="D32">
            <v>8</v>
          </cell>
          <cell r="E32">
            <v>336</v>
          </cell>
          <cell r="F32">
            <v>0.78</v>
          </cell>
          <cell r="G32">
            <v>262</v>
          </cell>
          <cell r="H32">
            <v>195277</v>
          </cell>
          <cell r="I32">
            <v>112569</v>
          </cell>
          <cell r="J32">
            <v>125223</v>
          </cell>
          <cell r="M32">
            <v>90879</v>
          </cell>
          <cell r="N32">
            <v>67876</v>
          </cell>
          <cell r="S32">
            <v>78183</v>
          </cell>
          <cell r="T32">
            <v>60194</v>
          </cell>
          <cell r="U32">
            <v>101190</v>
          </cell>
          <cell r="V32">
            <v>112569</v>
          </cell>
          <cell r="X32">
            <v>337707</v>
          </cell>
          <cell r="Y32">
            <v>168854</v>
          </cell>
          <cell r="Z32">
            <v>112569</v>
          </cell>
          <cell r="AA32">
            <v>225138</v>
          </cell>
          <cell r="AB32">
            <v>225138</v>
          </cell>
          <cell r="AC32">
            <v>187440</v>
          </cell>
          <cell r="AD32">
            <v>112464</v>
          </cell>
          <cell r="AE32">
            <v>1575966</v>
          </cell>
          <cell r="AG32">
            <v>112569</v>
          </cell>
          <cell r="AH32">
            <v>112569</v>
          </cell>
          <cell r="AI32">
            <v>450276</v>
          </cell>
          <cell r="AN32">
            <v>40525</v>
          </cell>
          <cell r="AR32">
            <v>13600</v>
          </cell>
          <cell r="AS32">
            <v>13600</v>
          </cell>
          <cell r="AT32">
            <v>10200</v>
          </cell>
          <cell r="AW32">
            <v>27200</v>
          </cell>
          <cell r="AX32">
            <v>152353.60000000001</v>
          </cell>
          <cell r="AZ32">
            <v>0</v>
          </cell>
          <cell r="BU32">
            <v>55922</v>
          </cell>
          <cell r="BY32">
            <v>10526</v>
          </cell>
          <cell r="BZ32">
            <v>1932</v>
          </cell>
          <cell r="CA32">
            <v>1680</v>
          </cell>
          <cell r="CB32">
            <v>1680</v>
          </cell>
          <cell r="CC32">
            <v>1932</v>
          </cell>
          <cell r="CD32">
            <v>6720</v>
          </cell>
          <cell r="CM32">
            <v>33600</v>
          </cell>
          <cell r="CN32">
            <v>74150</v>
          </cell>
          <cell r="CO32">
            <v>7020</v>
          </cell>
          <cell r="CV32">
            <v>13859</v>
          </cell>
          <cell r="CY32">
            <v>14575</v>
          </cell>
          <cell r="DC32">
            <v>112569</v>
          </cell>
          <cell r="DD32">
            <v>5158293.5999999996</v>
          </cell>
          <cell r="DE32">
            <v>417.22185911610723</v>
          </cell>
          <cell r="DF32">
            <v>5158710.8218591157</v>
          </cell>
          <cell r="DG32">
            <v>246407.5</v>
          </cell>
          <cell r="DH32">
            <v>341268</v>
          </cell>
          <cell r="DI32">
            <v>5158710.8218591157</v>
          </cell>
          <cell r="DJ32">
            <v>5746386.3218591157</v>
          </cell>
          <cell r="DK32">
            <v>3609529</v>
          </cell>
          <cell r="DL32">
            <v>663257.5</v>
          </cell>
          <cell r="DM32">
            <v>37400</v>
          </cell>
          <cell r="DN32">
            <v>193955</v>
          </cell>
          <cell r="DO32">
            <v>431902.5</v>
          </cell>
          <cell r="DP32">
            <v>0.65118374085479624</v>
          </cell>
          <cell r="DQ32">
            <v>3431052.5</v>
          </cell>
          <cell r="DR32">
            <v>675414</v>
          </cell>
          <cell r="DS32">
            <v>40525</v>
          </cell>
          <cell r="DT32">
            <v>179553.6</v>
          </cell>
          <cell r="DU32">
            <v>0</v>
          </cell>
          <cell r="DV32">
            <v>0</v>
          </cell>
          <cell r="DW32">
            <v>0</v>
          </cell>
          <cell r="DX32">
            <v>55922</v>
          </cell>
          <cell r="DY32">
            <v>112986.22185911611</v>
          </cell>
          <cell r="DZ32">
            <v>587675.5</v>
          </cell>
          <cell r="EA32">
            <v>431902.5</v>
          </cell>
          <cell r="EB32">
            <v>0.65118374085479624</v>
          </cell>
          <cell r="EC32">
            <v>37400</v>
          </cell>
          <cell r="ED32">
            <v>193955</v>
          </cell>
          <cell r="EE32">
            <v>663257.5</v>
          </cell>
          <cell r="EF32">
            <v>5746386.9730428569</v>
          </cell>
          <cell r="EH32">
            <v>3544038.7218591161</v>
          </cell>
          <cell r="EI32">
            <v>10547.734291247369</v>
          </cell>
          <cell r="EJ32">
            <v>10212.707505533084</v>
          </cell>
          <cell r="EK32">
            <v>5158710.8218591157</v>
          </cell>
          <cell r="EL32">
            <v>4909314</v>
          </cell>
          <cell r="EM32">
            <v>249396.82185911573</v>
          </cell>
          <cell r="EN32">
            <v>5.0800747692878422E-2</v>
          </cell>
          <cell r="EO32">
            <v>249396.82185911573</v>
          </cell>
          <cell r="EP32">
            <v>837072.32185911573</v>
          </cell>
          <cell r="EQ32">
            <v>4979157.2218591161</v>
          </cell>
          <cell r="ER32">
            <v>4131714.2218591161</v>
          </cell>
          <cell r="ES32">
            <v>12296.768517437846</v>
          </cell>
          <cell r="ET32">
            <v>750285</v>
          </cell>
          <cell r="EU32">
            <v>72</v>
          </cell>
          <cell r="EV32">
            <v>10582.40046158756</v>
          </cell>
          <cell r="EW32">
            <v>264</v>
          </cell>
        </row>
        <row r="33">
          <cell r="A33">
            <v>272</v>
          </cell>
          <cell r="B33" t="str">
            <v>Key ES</v>
          </cell>
          <cell r="C33" t="str">
            <v>ES</v>
          </cell>
          <cell r="D33">
            <v>3</v>
          </cell>
          <cell r="E33">
            <v>360</v>
          </cell>
          <cell r="F33">
            <v>1.7000000000000001E-2</v>
          </cell>
          <cell r="G33">
            <v>6</v>
          </cell>
          <cell r="H33">
            <v>195277</v>
          </cell>
          <cell r="I33">
            <v>112569</v>
          </cell>
          <cell r="J33">
            <v>140876</v>
          </cell>
          <cell r="M33">
            <v>90879</v>
          </cell>
          <cell r="N33">
            <v>67876</v>
          </cell>
          <cell r="S33">
            <v>78183</v>
          </cell>
          <cell r="T33">
            <v>60194</v>
          </cell>
          <cell r="U33">
            <v>101190</v>
          </cell>
          <cell r="V33">
            <v>112569</v>
          </cell>
          <cell r="X33">
            <v>337707</v>
          </cell>
          <cell r="AB33">
            <v>225138</v>
          </cell>
          <cell r="AC33">
            <v>74976</v>
          </cell>
          <cell r="AD33">
            <v>112464</v>
          </cell>
          <cell r="AE33">
            <v>1913673</v>
          </cell>
          <cell r="AG33">
            <v>112569</v>
          </cell>
          <cell r="AH33">
            <v>112569</v>
          </cell>
          <cell r="AI33">
            <v>337707</v>
          </cell>
          <cell r="AM33">
            <v>112569</v>
          </cell>
          <cell r="AW33">
            <v>0</v>
          </cell>
          <cell r="AX33">
            <v>0</v>
          </cell>
          <cell r="AY33">
            <v>9000</v>
          </cell>
          <cell r="AZ33">
            <v>0</v>
          </cell>
          <cell r="BU33">
            <v>55922</v>
          </cell>
          <cell r="BZ33">
            <v>2070</v>
          </cell>
          <cell r="CA33">
            <v>1800</v>
          </cell>
          <cell r="CB33">
            <v>1800</v>
          </cell>
          <cell r="CC33">
            <v>2070</v>
          </cell>
          <cell r="CD33">
            <v>7200</v>
          </cell>
          <cell r="CM33">
            <v>36000</v>
          </cell>
          <cell r="CN33">
            <v>69214</v>
          </cell>
          <cell r="CO33">
            <v>4539</v>
          </cell>
          <cell r="CY33">
            <v>2625</v>
          </cell>
          <cell r="DC33">
            <v>0</v>
          </cell>
          <cell r="DD33">
            <v>4491225</v>
          </cell>
          <cell r="DE33">
            <v>8.4699999997392297</v>
          </cell>
          <cell r="DF33">
            <v>4491233.47</v>
          </cell>
          <cell r="DG33">
            <v>33780</v>
          </cell>
          <cell r="DH33">
            <v>0</v>
          </cell>
          <cell r="DI33">
            <v>4491233.47</v>
          </cell>
          <cell r="DJ33">
            <v>4525013.47</v>
          </cell>
          <cell r="DK33">
            <v>3508697</v>
          </cell>
          <cell r="DL33">
            <v>15189</v>
          </cell>
          <cell r="DM33">
            <v>0</v>
          </cell>
          <cell r="DN33">
            <v>2625</v>
          </cell>
          <cell r="DO33">
            <v>12564</v>
          </cell>
          <cell r="DP33">
            <v>0.82717756270985576</v>
          </cell>
          <cell r="DQ33">
            <v>3735700</v>
          </cell>
          <cell r="DR33">
            <v>562845</v>
          </cell>
          <cell r="DS33">
            <v>112569</v>
          </cell>
          <cell r="DT33">
            <v>9000</v>
          </cell>
          <cell r="DU33">
            <v>0</v>
          </cell>
          <cell r="DV33">
            <v>0</v>
          </cell>
          <cell r="DW33">
            <v>0</v>
          </cell>
          <cell r="DX33">
            <v>55922</v>
          </cell>
          <cell r="DY33">
            <v>8.4699999997392297</v>
          </cell>
          <cell r="DZ33">
            <v>33780</v>
          </cell>
          <cell r="EA33">
            <v>12564</v>
          </cell>
          <cell r="EB33">
            <v>0.82717756270985576</v>
          </cell>
          <cell r="EC33">
            <v>0</v>
          </cell>
          <cell r="ED33">
            <v>2625</v>
          </cell>
          <cell r="EE33">
            <v>15189</v>
          </cell>
          <cell r="EF33">
            <v>4525014.2971775625</v>
          </cell>
          <cell r="EH33">
            <v>3735708.4699999997</v>
          </cell>
          <cell r="EI33">
            <v>10376.967972222221</v>
          </cell>
          <cell r="EJ33">
            <v>10376.967972222221</v>
          </cell>
          <cell r="EK33">
            <v>4491233.47</v>
          </cell>
          <cell r="EL33">
            <v>4383316</v>
          </cell>
          <cell r="EM33">
            <v>107917.46999999974</v>
          </cell>
          <cell r="EN33">
            <v>2.4620052489941344E-2</v>
          </cell>
          <cell r="EO33">
            <v>107917.46999999974</v>
          </cell>
          <cell r="EP33">
            <v>141697.46999999974</v>
          </cell>
          <cell r="EQ33">
            <v>4482233.47</v>
          </cell>
          <cell r="ER33">
            <v>3769488.4699999997</v>
          </cell>
          <cell r="ES33">
            <v>10470.801305555555</v>
          </cell>
          <cell r="ET33">
            <v>300114</v>
          </cell>
          <cell r="EU33">
            <v>39</v>
          </cell>
          <cell r="EV33">
            <v>10702.786510903426</v>
          </cell>
          <cell r="EW33">
            <v>321</v>
          </cell>
        </row>
        <row r="34">
          <cell r="A34">
            <v>259</v>
          </cell>
          <cell r="B34" t="str">
            <v>Kimball ES</v>
          </cell>
          <cell r="C34" t="str">
            <v>ES</v>
          </cell>
          <cell r="D34">
            <v>7</v>
          </cell>
          <cell r="E34">
            <v>398</v>
          </cell>
          <cell r="F34">
            <v>0.72399999999999998</v>
          </cell>
          <cell r="G34">
            <v>288</v>
          </cell>
          <cell r="H34">
            <v>195277</v>
          </cell>
          <cell r="I34">
            <v>112569</v>
          </cell>
          <cell r="J34">
            <v>156529</v>
          </cell>
          <cell r="M34">
            <v>90879</v>
          </cell>
          <cell r="N34">
            <v>67876</v>
          </cell>
          <cell r="S34">
            <v>78183</v>
          </cell>
          <cell r="T34">
            <v>60194</v>
          </cell>
          <cell r="U34">
            <v>101190</v>
          </cell>
          <cell r="V34">
            <v>112569</v>
          </cell>
          <cell r="X34">
            <v>337707</v>
          </cell>
          <cell r="Z34">
            <v>225138</v>
          </cell>
          <cell r="AA34">
            <v>112569</v>
          </cell>
          <cell r="AB34">
            <v>225138</v>
          </cell>
          <cell r="AC34">
            <v>187440</v>
          </cell>
          <cell r="AD34">
            <v>74976</v>
          </cell>
          <cell r="AE34">
            <v>1913673</v>
          </cell>
          <cell r="AG34">
            <v>112569</v>
          </cell>
          <cell r="AH34">
            <v>225138</v>
          </cell>
          <cell r="AI34">
            <v>450276</v>
          </cell>
          <cell r="AN34">
            <v>15760</v>
          </cell>
          <cell r="AR34">
            <v>13600</v>
          </cell>
          <cell r="AS34">
            <v>13600</v>
          </cell>
          <cell r="AT34">
            <v>10200</v>
          </cell>
          <cell r="AW34">
            <v>40800</v>
          </cell>
          <cell r="AX34">
            <v>180466</v>
          </cell>
          <cell r="AZ34">
            <v>0</v>
          </cell>
          <cell r="BU34">
            <v>111844</v>
          </cell>
          <cell r="BY34">
            <v>5788</v>
          </cell>
          <cell r="BZ34">
            <v>2289</v>
          </cell>
          <cell r="CA34">
            <v>1990</v>
          </cell>
          <cell r="CB34">
            <v>1990</v>
          </cell>
          <cell r="CC34">
            <v>2289</v>
          </cell>
          <cell r="CD34">
            <v>7960</v>
          </cell>
          <cell r="CM34">
            <v>39800</v>
          </cell>
          <cell r="CN34">
            <v>78170</v>
          </cell>
          <cell r="CO34">
            <v>6144</v>
          </cell>
          <cell r="CY34">
            <v>24700</v>
          </cell>
          <cell r="DA34">
            <v>65306</v>
          </cell>
          <cell r="DB34">
            <v>112569</v>
          </cell>
          <cell r="DC34">
            <v>0</v>
          </cell>
          <cell r="DD34">
            <v>5575155</v>
          </cell>
          <cell r="DE34">
            <v>112166.35314088408</v>
          </cell>
          <cell r="DF34">
            <v>5687321.3531408841</v>
          </cell>
          <cell r="DG34">
            <v>269212.21000000002</v>
          </cell>
          <cell r="DH34">
            <v>244656</v>
          </cell>
          <cell r="DI34">
            <v>5687321.3531408841</v>
          </cell>
          <cell r="DJ34">
            <v>6201189.563140884</v>
          </cell>
          <cell r="DK34">
            <v>3952972</v>
          </cell>
          <cell r="DL34">
            <v>729077</v>
          </cell>
          <cell r="DM34">
            <v>37400</v>
          </cell>
          <cell r="DN34">
            <v>30488</v>
          </cell>
          <cell r="DO34">
            <v>661189</v>
          </cell>
          <cell r="DP34">
            <v>0.90688500665910454</v>
          </cell>
          <cell r="DQ34">
            <v>3643919</v>
          </cell>
          <cell r="DR34">
            <v>787983</v>
          </cell>
          <cell r="DS34">
            <v>15760</v>
          </cell>
          <cell r="DT34">
            <v>221266</v>
          </cell>
          <cell r="DU34">
            <v>0</v>
          </cell>
          <cell r="DV34">
            <v>0</v>
          </cell>
          <cell r="DW34">
            <v>65306</v>
          </cell>
          <cell r="DX34">
            <v>111844</v>
          </cell>
          <cell r="DY34">
            <v>112166.35314088408</v>
          </cell>
          <cell r="DZ34">
            <v>513868.21</v>
          </cell>
          <cell r="EA34">
            <v>661189</v>
          </cell>
          <cell r="EB34">
            <v>0.90688500665910454</v>
          </cell>
          <cell r="EC34">
            <v>37400</v>
          </cell>
          <cell r="ED34">
            <v>30488</v>
          </cell>
          <cell r="EE34">
            <v>729077</v>
          </cell>
          <cell r="EF34">
            <v>6201190.4700258905</v>
          </cell>
          <cell r="EH34">
            <v>3821391.3531408841</v>
          </cell>
          <cell r="EI34">
            <v>9601.4858119117689</v>
          </cell>
          <cell r="EJ34">
            <v>9154.5637013590058</v>
          </cell>
          <cell r="EK34">
            <v>5622015.3531408841</v>
          </cell>
          <cell r="EL34">
            <v>5690802</v>
          </cell>
          <cell r="EM34">
            <v>-68786.646859115921</v>
          </cell>
          <cell r="EN34">
            <v>-1.208733792866382E-2</v>
          </cell>
          <cell r="EO34">
            <v>-3480.646859115921</v>
          </cell>
          <cell r="EP34">
            <v>510387.56314088404</v>
          </cell>
          <cell r="EQ34">
            <v>5466055.3531408841</v>
          </cell>
          <cell r="ER34">
            <v>4335259.563140884</v>
          </cell>
          <cell r="ES34">
            <v>10892.611967690664</v>
          </cell>
          <cell r="ET34">
            <v>750285</v>
          </cell>
          <cell r="EU34">
            <v>80</v>
          </cell>
          <cell r="EV34">
            <v>9657.5671482417747</v>
          </cell>
          <cell r="EW34">
            <v>318</v>
          </cell>
        </row>
        <row r="35">
          <cell r="A35">
            <v>344</v>
          </cell>
          <cell r="B35" t="str">
            <v>King, M.L. ES</v>
          </cell>
          <cell r="C35" t="str">
            <v>ES</v>
          </cell>
          <cell r="D35">
            <v>8</v>
          </cell>
          <cell r="E35">
            <v>270</v>
          </cell>
          <cell r="F35">
            <v>0.79600000000000004</v>
          </cell>
          <cell r="G35">
            <v>215</v>
          </cell>
          <cell r="H35">
            <v>195277</v>
          </cell>
          <cell r="I35">
            <v>112569</v>
          </cell>
          <cell r="M35">
            <v>45440</v>
          </cell>
          <cell r="N35">
            <v>67876</v>
          </cell>
          <cell r="S35">
            <v>78183</v>
          </cell>
          <cell r="T35">
            <v>60194</v>
          </cell>
          <cell r="U35">
            <v>50595</v>
          </cell>
          <cell r="V35">
            <v>56285</v>
          </cell>
          <cell r="W35">
            <v>112569.07</v>
          </cell>
          <cell r="X35">
            <v>337707</v>
          </cell>
          <cell r="Z35">
            <v>225138</v>
          </cell>
          <cell r="AB35">
            <v>337707</v>
          </cell>
          <cell r="AC35">
            <v>187440</v>
          </cell>
          <cell r="AD35">
            <v>74976</v>
          </cell>
          <cell r="AE35">
            <v>1350828</v>
          </cell>
          <cell r="AG35">
            <v>112569</v>
          </cell>
          <cell r="AH35">
            <v>112569</v>
          </cell>
          <cell r="AI35">
            <v>675414</v>
          </cell>
          <cell r="AJ35">
            <v>224928</v>
          </cell>
          <cell r="AN35">
            <v>5628</v>
          </cell>
          <cell r="AR35">
            <v>13600</v>
          </cell>
          <cell r="AS35">
            <v>13600</v>
          </cell>
          <cell r="AT35">
            <v>10200</v>
          </cell>
          <cell r="AW35">
            <v>27200</v>
          </cell>
          <cell r="AX35">
            <v>122424.8</v>
          </cell>
          <cell r="AZ35">
            <v>0</v>
          </cell>
          <cell r="BU35">
            <v>55922</v>
          </cell>
          <cell r="BY35">
            <v>8637</v>
          </cell>
          <cell r="BZ35">
            <v>1553</v>
          </cell>
          <cell r="CA35">
            <v>1350</v>
          </cell>
          <cell r="CB35">
            <v>1350</v>
          </cell>
          <cell r="CC35">
            <v>1553</v>
          </cell>
          <cell r="CD35">
            <v>5400</v>
          </cell>
          <cell r="CM35">
            <v>27000</v>
          </cell>
          <cell r="CN35">
            <v>69404</v>
          </cell>
          <cell r="CO35">
            <v>4448</v>
          </cell>
          <cell r="CV35">
            <v>13859</v>
          </cell>
          <cell r="CY35">
            <v>18850</v>
          </cell>
          <cell r="DA35">
            <v>238774</v>
          </cell>
          <cell r="DB35">
            <v>112569</v>
          </cell>
          <cell r="DC35">
            <v>116130</v>
          </cell>
          <cell r="DD35">
            <v>5287715.87</v>
          </cell>
          <cell r="DE35">
            <v>-113075.59232389461</v>
          </cell>
          <cell r="DF35">
            <v>5174640.2776761055</v>
          </cell>
          <cell r="DG35">
            <v>122372.31</v>
          </cell>
          <cell r="DH35">
            <v>177584</v>
          </cell>
          <cell r="DI35">
            <v>5174640.2776761055</v>
          </cell>
          <cell r="DJ35">
            <v>5474596.5876761051</v>
          </cell>
          <cell r="DK35">
            <v>3215870.0700000003</v>
          </cell>
          <cell r="DL35">
            <v>544277.09499999997</v>
          </cell>
          <cell r="DM35">
            <v>37400</v>
          </cell>
          <cell r="DN35">
            <v>27487</v>
          </cell>
          <cell r="DO35">
            <v>479390.09499999997</v>
          </cell>
          <cell r="DP35">
            <v>0.88078315145707164</v>
          </cell>
          <cell r="DQ35">
            <v>3051879.9750000006</v>
          </cell>
          <cell r="DR35">
            <v>1125480</v>
          </cell>
          <cell r="DS35">
            <v>5628</v>
          </cell>
          <cell r="DT35">
            <v>149624.79999999999</v>
          </cell>
          <cell r="DU35">
            <v>0</v>
          </cell>
          <cell r="DV35">
            <v>0</v>
          </cell>
          <cell r="DW35">
            <v>238774</v>
          </cell>
          <cell r="DX35">
            <v>55922</v>
          </cell>
          <cell r="DY35">
            <v>3054.4076761053875</v>
          </cell>
          <cell r="DZ35">
            <v>299956.31</v>
          </cell>
          <cell r="EA35">
            <v>479390.09499999997</v>
          </cell>
          <cell r="EB35">
            <v>0.88078315145707164</v>
          </cell>
          <cell r="EC35">
            <v>37400</v>
          </cell>
          <cell r="ED35">
            <v>27487</v>
          </cell>
          <cell r="EE35">
            <v>544277.09499999997</v>
          </cell>
          <cell r="EF35">
            <v>5474597.4684592569</v>
          </cell>
          <cell r="EH35">
            <v>3293708.3826761059</v>
          </cell>
          <cell r="EI35">
            <v>12198.91993583743</v>
          </cell>
          <cell r="EJ35">
            <v>10467.538454355948</v>
          </cell>
          <cell r="EK35">
            <v>4935866.2776761055</v>
          </cell>
          <cell r="EL35">
            <v>5176823</v>
          </cell>
          <cell r="EM35">
            <v>-240956.7223238945</v>
          </cell>
          <cell r="EN35">
            <v>-4.6545288939547382E-2</v>
          </cell>
          <cell r="EO35">
            <v>-2182.7223238945007</v>
          </cell>
          <cell r="EP35">
            <v>297773.58767610509</v>
          </cell>
          <cell r="EQ35">
            <v>5025015.4776761057</v>
          </cell>
          <cell r="ER35">
            <v>3593664.692676106</v>
          </cell>
          <cell r="ES35">
            <v>13309.869232133726</v>
          </cell>
          <cell r="ET35">
            <v>750285</v>
          </cell>
          <cell r="EU35">
            <v>57</v>
          </cell>
          <cell r="EV35">
            <v>11940.954848244628</v>
          </cell>
          <cell r="EW35">
            <v>213</v>
          </cell>
        </row>
        <row r="36">
          <cell r="A36">
            <v>261</v>
          </cell>
          <cell r="B36" t="str">
            <v>Lafayette ES</v>
          </cell>
          <cell r="C36" t="str">
            <v>ES</v>
          </cell>
          <cell r="D36">
            <v>4</v>
          </cell>
          <cell r="E36">
            <v>942</v>
          </cell>
          <cell r="F36">
            <v>0.04</v>
          </cell>
          <cell r="G36">
            <v>38</v>
          </cell>
          <cell r="H36">
            <v>195277</v>
          </cell>
          <cell r="I36">
            <v>112569</v>
          </cell>
          <cell r="J36">
            <v>391323</v>
          </cell>
          <cell r="M36">
            <v>90879</v>
          </cell>
          <cell r="N36">
            <v>67876</v>
          </cell>
          <cell r="O36">
            <v>126598</v>
          </cell>
          <cell r="S36">
            <v>78183</v>
          </cell>
          <cell r="T36">
            <v>60194</v>
          </cell>
          <cell r="U36">
            <v>202380</v>
          </cell>
          <cell r="V36">
            <v>112569</v>
          </cell>
          <cell r="X36">
            <v>619130</v>
          </cell>
          <cell r="Y36">
            <v>225138</v>
          </cell>
          <cell r="AB36">
            <v>225138</v>
          </cell>
          <cell r="AC36">
            <v>74976</v>
          </cell>
          <cell r="AD36">
            <v>224928</v>
          </cell>
          <cell r="AE36">
            <v>4390191</v>
          </cell>
          <cell r="AG36">
            <v>225138</v>
          </cell>
          <cell r="AH36">
            <v>225138</v>
          </cell>
          <cell r="AI36">
            <v>1125690</v>
          </cell>
          <cell r="AJ36">
            <v>187440</v>
          </cell>
          <cell r="AM36">
            <v>337707</v>
          </cell>
          <cell r="AW36">
            <v>0</v>
          </cell>
          <cell r="AX36">
            <v>0</v>
          </cell>
          <cell r="AY36">
            <v>24550</v>
          </cell>
          <cell r="AZ36">
            <v>0</v>
          </cell>
          <cell r="BU36">
            <v>111844</v>
          </cell>
          <cell r="BZ36">
            <v>5647</v>
          </cell>
          <cell r="CA36">
            <v>4910</v>
          </cell>
          <cell r="CB36">
            <v>4910</v>
          </cell>
          <cell r="CC36">
            <v>5647</v>
          </cell>
          <cell r="CD36">
            <v>19640</v>
          </cell>
          <cell r="CM36">
            <v>98200</v>
          </cell>
          <cell r="CN36">
            <v>157557</v>
          </cell>
          <cell r="CO36">
            <v>9385</v>
          </cell>
          <cell r="CT36">
            <v>115428</v>
          </cell>
          <cell r="CY36">
            <v>4375</v>
          </cell>
          <cell r="DA36">
            <v>377903</v>
          </cell>
          <cell r="DB36">
            <v>112569</v>
          </cell>
          <cell r="DC36">
            <v>337708</v>
          </cell>
          <cell r="DD36">
            <v>10688735</v>
          </cell>
          <cell r="DE36">
            <v>-34829.523329999298</v>
          </cell>
          <cell r="DF36">
            <v>10653905.476670001</v>
          </cell>
          <cell r="DG36">
            <v>84520.98</v>
          </cell>
          <cell r="DH36">
            <v>917558.5</v>
          </cell>
          <cell r="DI36">
            <v>10653905.476670001</v>
          </cell>
          <cell r="DJ36">
            <v>11655984.956670001</v>
          </cell>
          <cell r="DK36">
            <v>6937350</v>
          </cell>
          <cell r="DL36">
            <v>96198</v>
          </cell>
          <cell r="DM36">
            <v>0</v>
          </cell>
          <cell r="DN36">
            <v>229513</v>
          </cell>
          <cell r="DO36">
            <v>-133315</v>
          </cell>
          <cell r="DP36">
            <v>-1.3858396224453731</v>
          </cell>
          <cell r="DQ36">
            <v>7523991</v>
          </cell>
          <cell r="DR36">
            <v>1763406</v>
          </cell>
          <cell r="DS36">
            <v>337707</v>
          </cell>
          <cell r="DT36">
            <v>24550</v>
          </cell>
          <cell r="DU36">
            <v>0</v>
          </cell>
          <cell r="DV36">
            <v>115428</v>
          </cell>
          <cell r="DW36">
            <v>377903</v>
          </cell>
          <cell r="DX36">
            <v>111844</v>
          </cell>
          <cell r="DY36">
            <v>302878.4766700007</v>
          </cell>
          <cell r="DZ36">
            <v>1002079.48</v>
          </cell>
          <cell r="EA36">
            <v>-133315</v>
          </cell>
          <cell r="EB36">
            <v>-1.3858396224453731</v>
          </cell>
          <cell r="EC36">
            <v>0</v>
          </cell>
          <cell r="ED36">
            <v>229513</v>
          </cell>
          <cell r="EE36">
            <v>96198</v>
          </cell>
          <cell r="EF36">
            <v>11655983.570830379</v>
          </cell>
          <cell r="EH36">
            <v>8320200.4766700007</v>
          </cell>
          <cell r="EI36">
            <v>8832.4845824522308</v>
          </cell>
          <cell r="EJ36">
            <v>7953.3126079299373</v>
          </cell>
          <cell r="EK36">
            <v>10276002.476670001</v>
          </cell>
          <cell r="EL36">
            <v>10740661</v>
          </cell>
          <cell r="EM36">
            <v>-464658.5233299993</v>
          </cell>
          <cell r="EN36">
            <v>-4.326163197311593E-2</v>
          </cell>
          <cell r="EO36">
            <v>-86755.523329999298</v>
          </cell>
          <cell r="EP36">
            <v>915323.95667000115</v>
          </cell>
          <cell r="EQ36">
            <v>10629355.476670001</v>
          </cell>
          <cell r="ER36">
            <v>9322279.9566700011</v>
          </cell>
          <cell r="ES36">
            <v>9896.2632236411901</v>
          </cell>
          <cell r="ET36">
            <v>300114</v>
          </cell>
          <cell r="EU36">
            <v>38</v>
          </cell>
          <cell r="EV36">
            <v>8871.7770759623909</v>
          </cell>
          <cell r="EW36">
            <v>904</v>
          </cell>
        </row>
        <row r="37">
          <cell r="A37">
            <v>262</v>
          </cell>
          <cell r="B37" t="str">
            <v>Langdon ES</v>
          </cell>
          <cell r="C37" t="str">
            <v>ES</v>
          </cell>
          <cell r="D37">
            <v>5</v>
          </cell>
          <cell r="E37">
            <v>358</v>
          </cell>
          <cell r="F37">
            <v>0.503</v>
          </cell>
          <cell r="G37">
            <v>180</v>
          </cell>
          <cell r="H37">
            <v>195277</v>
          </cell>
          <cell r="I37">
            <v>112569</v>
          </cell>
          <cell r="J37">
            <v>140876</v>
          </cell>
          <cell r="M37">
            <v>90879</v>
          </cell>
          <cell r="N37">
            <v>67876</v>
          </cell>
          <cell r="S37">
            <v>78183</v>
          </cell>
          <cell r="T37">
            <v>60194</v>
          </cell>
          <cell r="U37">
            <v>151785</v>
          </cell>
          <cell r="V37">
            <v>112569</v>
          </cell>
          <cell r="X37">
            <v>337707</v>
          </cell>
          <cell r="Z37">
            <v>112569</v>
          </cell>
          <cell r="AA37">
            <v>337707</v>
          </cell>
          <cell r="AB37">
            <v>112569</v>
          </cell>
          <cell r="AC37">
            <v>187440</v>
          </cell>
          <cell r="AD37">
            <v>112464</v>
          </cell>
          <cell r="AE37">
            <v>1688535</v>
          </cell>
          <cell r="AG37">
            <v>112569</v>
          </cell>
          <cell r="AH37">
            <v>225138</v>
          </cell>
          <cell r="AI37">
            <v>675414</v>
          </cell>
          <cell r="AJ37">
            <v>224928</v>
          </cell>
          <cell r="AM37">
            <v>112569</v>
          </cell>
          <cell r="AR37">
            <v>20400</v>
          </cell>
          <cell r="AS37">
            <v>20400</v>
          </cell>
          <cell r="AW37">
            <v>40800</v>
          </cell>
          <cell r="AX37">
            <v>162330.84</v>
          </cell>
          <cell r="AZ37">
            <v>0</v>
          </cell>
          <cell r="BU37">
            <v>55922</v>
          </cell>
          <cell r="BY37">
            <v>3602</v>
          </cell>
          <cell r="BZ37">
            <v>2059</v>
          </cell>
          <cell r="CA37">
            <v>1790</v>
          </cell>
          <cell r="CB37">
            <v>1790</v>
          </cell>
          <cell r="CC37">
            <v>2059</v>
          </cell>
          <cell r="CD37">
            <v>7160</v>
          </cell>
          <cell r="CM37">
            <v>35800</v>
          </cell>
          <cell r="CN37">
            <v>84522</v>
          </cell>
          <cell r="CO37">
            <v>6086</v>
          </cell>
          <cell r="CY37">
            <v>13750</v>
          </cell>
          <cell r="DC37">
            <v>10200</v>
          </cell>
          <cell r="DD37">
            <v>5718487.8399999999</v>
          </cell>
          <cell r="DE37">
            <v>8.5033300006762147</v>
          </cell>
          <cell r="DF37">
            <v>5718496.3433300005</v>
          </cell>
          <cell r="DG37">
            <v>164548.37</v>
          </cell>
          <cell r="DH37">
            <v>385228</v>
          </cell>
          <cell r="DI37">
            <v>5718496.3433300005</v>
          </cell>
          <cell r="DJ37">
            <v>6268272.7133300006</v>
          </cell>
          <cell r="DK37">
            <v>3750303</v>
          </cell>
          <cell r="DL37">
            <v>455674</v>
          </cell>
          <cell r="DM37">
            <v>40800</v>
          </cell>
          <cell r="DN37">
            <v>17352</v>
          </cell>
          <cell r="DO37">
            <v>397522</v>
          </cell>
          <cell r="DP37">
            <v>0.87238244885598037</v>
          </cell>
          <cell r="DQ37">
            <v>3642943</v>
          </cell>
          <cell r="DR37">
            <v>1238049</v>
          </cell>
          <cell r="DS37">
            <v>112569</v>
          </cell>
          <cell r="DT37">
            <v>203130.84</v>
          </cell>
          <cell r="DU37">
            <v>0</v>
          </cell>
          <cell r="DV37">
            <v>0</v>
          </cell>
          <cell r="DW37">
            <v>0</v>
          </cell>
          <cell r="DX37">
            <v>55922</v>
          </cell>
          <cell r="DY37">
            <v>10208.503330000676</v>
          </cell>
          <cell r="DZ37">
            <v>549776.37</v>
          </cell>
          <cell r="EA37">
            <v>397522</v>
          </cell>
          <cell r="EB37">
            <v>0.87238244885598037</v>
          </cell>
          <cell r="EC37">
            <v>40800</v>
          </cell>
          <cell r="ED37">
            <v>17352</v>
          </cell>
          <cell r="EE37">
            <v>455674</v>
          </cell>
          <cell r="EF37">
            <v>6268273.5857124496</v>
          </cell>
          <cell r="EH37">
            <v>3653151.5033300007</v>
          </cell>
          <cell r="EI37">
            <v>10204.333808184359</v>
          </cell>
          <cell r="EJ37">
            <v>10175.842188072627</v>
          </cell>
          <cell r="EK37">
            <v>5718496.3433300005</v>
          </cell>
          <cell r="EL37">
            <v>5846550</v>
          </cell>
          <cell r="EM37">
            <v>-128053.65666999947</v>
          </cell>
          <cell r="EN37">
            <v>-2.1902430778835292E-2</v>
          </cell>
          <cell r="EO37">
            <v>-128053.65666999947</v>
          </cell>
          <cell r="EP37">
            <v>421722.71333000064</v>
          </cell>
          <cell r="EQ37">
            <v>5515365.5033300007</v>
          </cell>
          <cell r="ER37">
            <v>4202927.8733300008</v>
          </cell>
          <cell r="ES37">
            <v>11740.021992541902</v>
          </cell>
          <cell r="ET37">
            <v>750285</v>
          </cell>
          <cell r="EU37">
            <v>82</v>
          </cell>
          <cell r="EV37">
            <v>10517.632258442032</v>
          </cell>
          <cell r="EW37">
            <v>276</v>
          </cell>
        </row>
        <row r="38">
          <cell r="A38">
            <v>370</v>
          </cell>
          <cell r="B38" t="str">
            <v>Langley ES</v>
          </cell>
          <cell r="C38" t="str">
            <v>ES</v>
          </cell>
          <cell r="D38">
            <v>5</v>
          </cell>
          <cell r="E38">
            <v>317</v>
          </cell>
          <cell r="F38">
            <v>0.53300000000000003</v>
          </cell>
          <cell r="G38">
            <v>169</v>
          </cell>
          <cell r="H38">
            <v>195277</v>
          </cell>
          <cell r="I38">
            <v>112569</v>
          </cell>
          <cell r="J38">
            <v>125223</v>
          </cell>
          <cell r="M38">
            <v>90879</v>
          </cell>
          <cell r="N38">
            <v>67876</v>
          </cell>
          <cell r="S38">
            <v>78183</v>
          </cell>
          <cell r="T38">
            <v>60194</v>
          </cell>
          <cell r="U38">
            <v>101190</v>
          </cell>
          <cell r="V38">
            <v>112569</v>
          </cell>
          <cell r="X38">
            <v>337707</v>
          </cell>
          <cell r="Z38">
            <v>225138</v>
          </cell>
          <cell r="AA38">
            <v>112569</v>
          </cell>
          <cell r="AB38">
            <v>337707</v>
          </cell>
          <cell r="AC38">
            <v>224928</v>
          </cell>
          <cell r="AD38">
            <v>74976</v>
          </cell>
          <cell r="AE38">
            <v>1125690</v>
          </cell>
          <cell r="AG38">
            <v>112569</v>
          </cell>
          <cell r="AH38">
            <v>450276</v>
          </cell>
          <cell r="AI38">
            <v>1013121</v>
          </cell>
          <cell r="AJ38">
            <v>299904</v>
          </cell>
          <cell r="AK38">
            <v>110030</v>
          </cell>
          <cell r="AM38">
            <v>225138</v>
          </cell>
          <cell r="AR38">
            <v>13600</v>
          </cell>
          <cell r="AS38">
            <v>13600</v>
          </cell>
          <cell r="AT38">
            <v>10200</v>
          </cell>
          <cell r="AW38">
            <v>27200</v>
          </cell>
          <cell r="AX38">
            <v>250390.44500000001</v>
          </cell>
          <cell r="AZ38">
            <v>0</v>
          </cell>
          <cell r="BF38">
            <v>112569</v>
          </cell>
          <cell r="BU38">
            <v>55922</v>
          </cell>
          <cell r="BY38">
            <v>3375</v>
          </cell>
          <cell r="BZ38">
            <v>1823</v>
          </cell>
          <cell r="CA38">
            <v>1585</v>
          </cell>
          <cell r="CB38">
            <v>1585</v>
          </cell>
          <cell r="CC38">
            <v>1823</v>
          </cell>
          <cell r="CD38">
            <v>6340</v>
          </cell>
          <cell r="CM38">
            <v>31700</v>
          </cell>
          <cell r="CN38">
            <v>90059</v>
          </cell>
          <cell r="CO38">
            <v>5258</v>
          </cell>
          <cell r="CY38">
            <v>16900</v>
          </cell>
          <cell r="DC38">
            <v>0</v>
          </cell>
          <cell r="DD38">
            <v>6237642.4450000003</v>
          </cell>
          <cell r="DE38">
            <v>-106642.18832999934</v>
          </cell>
          <cell r="DF38">
            <v>6131000.256670001</v>
          </cell>
          <cell r="DG38">
            <v>183831.97</v>
          </cell>
          <cell r="DH38">
            <v>114138</v>
          </cell>
          <cell r="DI38">
            <v>6131000.256670001</v>
          </cell>
          <cell r="DJ38">
            <v>6428970.2266700007</v>
          </cell>
          <cell r="DK38">
            <v>3283281</v>
          </cell>
          <cell r="DL38">
            <v>427827</v>
          </cell>
          <cell r="DM38">
            <v>37400</v>
          </cell>
          <cell r="DN38">
            <v>132844</v>
          </cell>
          <cell r="DO38">
            <v>257583</v>
          </cell>
          <cell r="DP38">
            <v>0.60207280045438927</v>
          </cell>
          <cell r="DQ38">
            <v>3265265</v>
          </cell>
          <cell r="DR38">
            <v>1985900</v>
          </cell>
          <cell r="DS38">
            <v>225138</v>
          </cell>
          <cell r="DT38">
            <v>277590.44500000001</v>
          </cell>
          <cell r="DU38">
            <v>0</v>
          </cell>
          <cell r="DV38">
            <v>0</v>
          </cell>
          <cell r="DW38">
            <v>0</v>
          </cell>
          <cell r="DX38">
            <v>55922</v>
          </cell>
          <cell r="DY38">
            <v>-106642.18832999934</v>
          </cell>
          <cell r="DZ38">
            <v>297969.96999999997</v>
          </cell>
          <cell r="EA38">
            <v>257583</v>
          </cell>
          <cell r="EB38">
            <v>0.60207280045438927</v>
          </cell>
          <cell r="EC38">
            <v>37400</v>
          </cell>
          <cell r="ED38">
            <v>132844</v>
          </cell>
          <cell r="EE38">
            <v>427827</v>
          </cell>
          <cell r="EF38">
            <v>6428970.8287428012</v>
          </cell>
          <cell r="EH38">
            <v>3158622.8116700007</v>
          </cell>
          <cell r="EI38">
            <v>9964.1098159936937</v>
          </cell>
          <cell r="EJ38">
            <v>9964.1098159936937</v>
          </cell>
          <cell r="EK38">
            <v>6131000.256670001</v>
          </cell>
          <cell r="EL38">
            <v>6245139</v>
          </cell>
          <cell r="EM38">
            <v>-114138.74332999904</v>
          </cell>
          <cell r="EN38">
            <v>-1.8276413596238456E-2</v>
          </cell>
          <cell r="EO38">
            <v>-114138.74332999904</v>
          </cell>
          <cell r="EP38">
            <v>183831.2266700007</v>
          </cell>
          <cell r="EQ38">
            <v>5853409.8116700007</v>
          </cell>
          <cell r="ER38">
            <v>3456592.7816700004</v>
          </cell>
          <cell r="ES38">
            <v>10904.078175615143</v>
          </cell>
          <cell r="ET38">
            <v>900342</v>
          </cell>
          <cell r="EU38">
            <v>92</v>
          </cell>
          <cell r="EV38">
            <v>10036.803607422225</v>
          </cell>
          <cell r="EW38">
            <v>225</v>
          </cell>
        </row>
        <row r="39">
          <cell r="A39">
            <v>271</v>
          </cell>
          <cell r="B39" t="str">
            <v>Ludlow-Taylor ES</v>
          </cell>
          <cell r="C39" t="str">
            <v>ES</v>
          </cell>
          <cell r="D39">
            <v>6</v>
          </cell>
          <cell r="E39">
            <v>449</v>
          </cell>
          <cell r="F39">
            <v>0.23799999999999999</v>
          </cell>
          <cell r="G39">
            <v>107</v>
          </cell>
          <cell r="H39">
            <v>195277</v>
          </cell>
          <cell r="I39">
            <v>112569</v>
          </cell>
          <cell r="J39">
            <v>172182</v>
          </cell>
          <cell r="M39">
            <v>90879</v>
          </cell>
          <cell r="N39">
            <v>67876</v>
          </cell>
          <cell r="O39">
            <v>55703</v>
          </cell>
          <cell r="S39">
            <v>78183</v>
          </cell>
          <cell r="T39">
            <v>60194</v>
          </cell>
          <cell r="U39">
            <v>101190</v>
          </cell>
          <cell r="V39">
            <v>112569</v>
          </cell>
          <cell r="X39">
            <v>506561</v>
          </cell>
          <cell r="Z39">
            <v>337707</v>
          </cell>
          <cell r="AB39">
            <v>337707</v>
          </cell>
          <cell r="AC39">
            <v>224928</v>
          </cell>
          <cell r="AD39">
            <v>112464</v>
          </cell>
          <cell r="AE39">
            <v>2026242</v>
          </cell>
          <cell r="AG39">
            <v>112569</v>
          </cell>
          <cell r="AH39">
            <v>112569</v>
          </cell>
          <cell r="AI39">
            <v>787983</v>
          </cell>
          <cell r="AJ39">
            <v>224928</v>
          </cell>
          <cell r="AM39">
            <v>112569</v>
          </cell>
          <cell r="AW39">
            <v>0</v>
          </cell>
          <cell r="AX39">
            <v>0</v>
          </cell>
          <cell r="AY39">
            <v>11225</v>
          </cell>
          <cell r="AZ39">
            <v>0</v>
          </cell>
          <cell r="BU39">
            <v>55922</v>
          </cell>
          <cell r="BZ39">
            <v>2582</v>
          </cell>
          <cell r="CA39">
            <v>2245</v>
          </cell>
          <cell r="CB39">
            <v>2245</v>
          </cell>
          <cell r="CC39">
            <v>2582</v>
          </cell>
          <cell r="CD39">
            <v>8980</v>
          </cell>
          <cell r="CM39">
            <v>44900</v>
          </cell>
          <cell r="CN39">
            <v>95680</v>
          </cell>
          <cell r="CO39">
            <v>5502</v>
          </cell>
          <cell r="CY39">
            <v>4725</v>
          </cell>
          <cell r="DC39">
            <v>112570</v>
          </cell>
          <cell r="DD39">
            <v>6292007</v>
          </cell>
          <cell r="DE39">
            <v>8.9333299994468689</v>
          </cell>
          <cell r="DF39">
            <v>6292015.9333299994</v>
          </cell>
          <cell r="DG39">
            <v>118061.5</v>
          </cell>
          <cell r="DH39">
            <v>299354</v>
          </cell>
          <cell r="DI39">
            <v>6292015.9333299994</v>
          </cell>
          <cell r="DJ39">
            <v>6709431.4333299994</v>
          </cell>
          <cell r="DK39">
            <v>4517380</v>
          </cell>
          <cell r="DL39">
            <v>270872.92</v>
          </cell>
          <cell r="DM39">
            <v>0</v>
          </cell>
          <cell r="DN39">
            <v>4725</v>
          </cell>
          <cell r="DO39">
            <v>266147.92</v>
          </cell>
          <cell r="DP39">
            <v>0.98255639581837861</v>
          </cell>
          <cell r="DQ39">
            <v>4490799.08</v>
          </cell>
          <cell r="DR39">
            <v>1238049</v>
          </cell>
          <cell r="DS39">
            <v>112569</v>
          </cell>
          <cell r="DT39">
            <v>11225</v>
          </cell>
          <cell r="DU39">
            <v>0</v>
          </cell>
          <cell r="DV39">
            <v>0</v>
          </cell>
          <cell r="DW39">
            <v>0</v>
          </cell>
          <cell r="DX39">
            <v>55922</v>
          </cell>
          <cell r="DY39">
            <v>112578.93332999945</v>
          </cell>
          <cell r="DZ39">
            <v>417415.5</v>
          </cell>
          <cell r="EA39">
            <v>266147.92</v>
          </cell>
          <cell r="EB39">
            <v>0.98255639581837861</v>
          </cell>
          <cell r="EC39">
            <v>0</v>
          </cell>
          <cell r="ED39">
            <v>4725</v>
          </cell>
          <cell r="EE39">
            <v>270872.92</v>
          </cell>
          <cell r="EF39">
            <v>6709432.4158863956</v>
          </cell>
          <cell r="EH39">
            <v>4603378.0133299995</v>
          </cell>
          <cell r="EI39">
            <v>10252.512279131402</v>
          </cell>
          <cell r="EJ39">
            <v>10001.799584253897</v>
          </cell>
          <cell r="EK39">
            <v>6292015.9333299994</v>
          </cell>
          <cell r="EL39">
            <v>6240286</v>
          </cell>
          <cell r="EM39">
            <v>51729.933329999447</v>
          </cell>
          <cell r="EN39">
            <v>8.2896734749015426E-3</v>
          </cell>
          <cell r="EO39">
            <v>51729.933329999447</v>
          </cell>
          <cell r="EP39">
            <v>469145.43332999945</v>
          </cell>
          <cell r="EQ39">
            <v>6280790.9333299994</v>
          </cell>
          <cell r="ER39">
            <v>5020793.5133299995</v>
          </cell>
          <cell r="ES39">
            <v>11182.168181135856</v>
          </cell>
          <cell r="ET39">
            <v>900342</v>
          </cell>
          <cell r="EU39">
            <v>102</v>
          </cell>
          <cell r="EV39">
            <v>10671.573525446685</v>
          </cell>
          <cell r="EW39">
            <v>347</v>
          </cell>
        </row>
        <row r="40">
          <cell r="A40">
            <v>308</v>
          </cell>
          <cell r="B40" t="str">
            <v>Malcolm X ES @ Green</v>
          </cell>
          <cell r="C40" t="str">
            <v>ES</v>
          </cell>
          <cell r="D40">
            <v>8</v>
          </cell>
          <cell r="E40">
            <v>233</v>
          </cell>
          <cell r="F40">
            <v>0.81100000000000005</v>
          </cell>
          <cell r="G40">
            <v>189</v>
          </cell>
          <cell r="H40">
            <v>195277</v>
          </cell>
          <cell r="I40">
            <v>112569</v>
          </cell>
          <cell r="M40">
            <v>45440</v>
          </cell>
          <cell r="N40">
            <v>67876</v>
          </cell>
          <cell r="S40">
            <v>78183</v>
          </cell>
          <cell r="T40">
            <v>60194</v>
          </cell>
          <cell r="U40">
            <v>50595</v>
          </cell>
          <cell r="V40">
            <v>56285</v>
          </cell>
          <cell r="W40">
            <v>112569.07</v>
          </cell>
          <cell r="X40">
            <v>337707</v>
          </cell>
          <cell r="Z40">
            <v>225138</v>
          </cell>
          <cell r="AB40">
            <v>225138</v>
          </cell>
          <cell r="AC40">
            <v>149952</v>
          </cell>
          <cell r="AD40">
            <v>74976</v>
          </cell>
          <cell r="AE40">
            <v>1125690</v>
          </cell>
          <cell r="AG40">
            <v>112569</v>
          </cell>
          <cell r="AH40">
            <v>337707</v>
          </cell>
          <cell r="AI40">
            <v>562845</v>
          </cell>
          <cell r="AJ40">
            <v>74976</v>
          </cell>
          <cell r="AK40">
            <v>110030</v>
          </cell>
          <cell r="AN40">
            <v>5628</v>
          </cell>
          <cell r="AR40">
            <v>13600</v>
          </cell>
          <cell r="AS40">
            <v>13600</v>
          </cell>
          <cell r="AT40">
            <v>10200</v>
          </cell>
          <cell r="AW40">
            <v>40800</v>
          </cell>
          <cell r="AX40">
            <v>105648.64000000001</v>
          </cell>
          <cell r="AZ40">
            <v>0</v>
          </cell>
          <cell r="BU40">
            <v>55922</v>
          </cell>
          <cell r="BY40">
            <v>7619</v>
          </cell>
          <cell r="BZ40">
            <v>1340</v>
          </cell>
          <cell r="CA40">
            <v>1165</v>
          </cell>
          <cell r="CB40">
            <v>1165</v>
          </cell>
          <cell r="CC40">
            <v>1340</v>
          </cell>
          <cell r="CD40">
            <v>4660</v>
          </cell>
          <cell r="CM40">
            <v>23300</v>
          </cell>
          <cell r="CN40">
            <v>64533</v>
          </cell>
          <cell r="CO40">
            <v>4197</v>
          </cell>
          <cell r="CV40">
            <v>13859</v>
          </cell>
          <cell r="CY40">
            <v>19175</v>
          </cell>
          <cell r="DC40">
            <v>56285</v>
          </cell>
          <cell r="DD40">
            <v>4559752.71</v>
          </cell>
          <cell r="DE40">
            <v>-113074.11565389484</v>
          </cell>
          <cell r="DF40">
            <v>4446678.5943461051</v>
          </cell>
          <cell r="DG40">
            <v>136683.10999999999</v>
          </cell>
          <cell r="DH40">
            <v>74976</v>
          </cell>
          <cell r="DI40">
            <v>4446678.5943461051</v>
          </cell>
          <cell r="DJ40">
            <v>4658337.7043461055</v>
          </cell>
          <cell r="DK40">
            <v>2830317.0700000003</v>
          </cell>
          <cell r="DL40">
            <v>478457.41500000004</v>
          </cell>
          <cell r="DM40">
            <v>37400</v>
          </cell>
          <cell r="DN40">
            <v>26794</v>
          </cell>
          <cell r="DO40">
            <v>414263.41500000004</v>
          </cell>
          <cell r="DP40">
            <v>0.86583131959612336</v>
          </cell>
          <cell r="DQ40">
            <v>2618884.6550000003</v>
          </cell>
          <cell r="DR40">
            <v>1198127</v>
          </cell>
          <cell r="DS40">
            <v>5628</v>
          </cell>
          <cell r="DT40">
            <v>146448.64000000001</v>
          </cell>
          <cell r="DU40">
            <v>0</v>
          </cell>
          <cell r="DV40">
            <v>0</v>
          </cell>
          <cell r="DW40">
            <v>0</v>
          </cell>
          <cell r="DX40">
            <v>55922</v>
          </cell>
          <cell r="DY40">
            <v>-56789.115653894842</v>
          </cell>
          <cell r="DZ40">
            <v>211659.11</v>
          </cell>
          <cell r="EA40">
            <v>414263.41500000004</v>
          </cell>
          <cell r="EB40">
            <v>0.86583131959612336</v>
          </cell>
          <cell r="EC40">
            <v>37400</v>
          </cell>
          <cell r="ED40">
            <v>26794</v>
          </cell>
          <cell r="EE40">
            <v>478457.41500000004</v>
          </cell>
          <cell r="EF40">
            <v>4658338.5701774247</v>
          </cell>
          <cell r="EH40">
            <v>2562095.5393461054</v>
          </cell>
          <cell r="EI40">
            <v>10996.118194618479</v>
          </cell>
          <cell r="EJ40">
            <v>10754.551671013329</v>
          </cell>
          <cell r="EK40">
            <v>4446678.5943461051</v>
          </cell>
          <cell r="EL40">
            <v>4108684</v>
          </cell>
          <cell r="EM40">
            <v>337994.59434610512</v>
          </cell>
          <cell r="EN40">
            <v>8.2263467900209677E-2</v>
          </cell>
          <cell r="EO40">
            <v>337994.59434610512</v>
          </cell>
          <cell r="EP40">
            <v>549653.70434610546</v>
          </cell>
          <cell r="EQ40">
            <v>4300229.9543461055</v>
          </cell>
          <cell r="ER40">
            <v>2773754.6493461053</v>
          </cell>
          <cell r="ES40">
            <v>11904.52639204337</v>
          </cell>
          <cell r="ET40">
            <v>600228</v>
          </cell>
          <cell r="EU40">
            <v>56</v>
          </cell>
          <cell r="EV40">
            <v>11083.997397435623</v>
          </cell>
          <cell r="EW40">
            <v>177</v>
          </cell>
        </row>
        <row r="41">
          <cell r="A41">
            <v>273</v>
          </cell>
          <cell r="B41" t="str">
            <v>Mann ES</v>
          </cell>
          <cell r="C41" t="str">
            <v>ES</v>
          </cell>
          <cell r="D41">
            <v>3</v>
          </cell>
          <cell r="E41">
            <v>402</v>
          </cell>
          <cell r="F41">
            <v>3.6999999999999998E-2</v>
          </cell>
          <cell r="G41">
            <v>15</v>
          </cell>
          <cell r="H41">
            <v>195277</v>
          </cell>
          <cell r="I41">
            <v>112569</v>
          </cell>
          <cell r="J41">
            <v>156529</v>
          </cell>
          <cell r="M41">
            <v>90879</v>
          </cell>
          <cell r="N41">
            <v>67876</v>
          </cell>
          <cell r="O41">
            <v>50639</v>
          </cell>
          <cell r="S41">
            <v>78183</v>
          </cell>
          <cell r="T41">
            <v>60194</v>
          </cell>
          <cell r="U41">
            <v>101190</v>
          </cell>
          <cell r="V41">
            <v>112569</v>
          </cell>
          <cell r="X41">
            <v>506561</v>
          </cell>
          <cell r="AB41">
            <v>225138</v>
          </cell>
          <cell r="AC41">
            <v>74976</v>
          </cell>
          <cell r="AD41">
            <v>112464</v>
          </cell>
          <cell r="AE41">
            <v>2026242</v>
          </cell>
          <cell r="AG41">
            <v>112569</v>
          </cell>
          <cell r="AH41">
            <v>112569</v>
          </cell>
          <cell r="AI41">
            <v>337707</v>
          </cell>
          <cell r="AM41">
            <v>225138</v>
          </cell>
          <cell r="AW41">
            <v>0</v>
          </cell>
          <cell r="AX41">
            <v>0</v>
          </cell>
          <cell r="AY41">
            <v>10050</v>
          </cell>
          <cell r="AZ41">
            <v>0</v>
          </cell>
          <cell r="BU41">
            <v>55922</v>
          </cell>
          <cell r="BZ41">
            <v>2312</v>
          </cell>
          <cell r="CA41">
            <v>2010</v>
          </cell>
          <cell r="CB41">
            <v>2010</v>
          </cell>
          <cell r="CC41">
            <v>2312</v>
          </cell>
          <cell r="CD41">
            <v>8040</v>
          </cell>
          <cell r="CM41">
            <v>40200</v>
          </cell>
          <cell r="CN41">
            <v>76624</v>
          </cell>
          <cell r="CO41">
            <v>3485</v>
          </cell>
          <cell r="CY41">
            <v>1225</v>
          </cell>
          <cell r="DC41">
            <v>0</v>
          </cell>
          <cell r="DD41">
            <v>4963459</v>
          </cell>
          <cell r="DE41">
            <v>6.1366699999198318</v>
          </cell>
          <cell r="DF41">
            <v>4963465.1366699999</v>
          </cell>
          <cell r="DG41">
            <v>27791.63</v>
          </cell>
          <cell r="DH41">
            <v>131014</v>
          </cell>
          <cell r="DI41">
            <v>4963465.1366699999</v>
          </cell>
          <cell r="DJ41">
            <v>5122270.7666699998</v>
          </cell>
          <cell r="DK41">
            <v>3868712</v>
          </cell>
          <cell r="DL41">
            <v>37973</v>
          </cell>
          <cell r="DM41">
            <v>0</v>
          </cell>
          <cell r="DN41">
            <v>1225</v>
          </cell>
          <cell r="DO41">
            <v>36748</v>
          </cell>
          <cell r="DP41">
            <v>0.96774023648381746</v>
          </cell>
          <cell r="DQ41">
            <v>4071531</v>
          </cell>
          <cell r="DR41">
            <v>562845</v>
          </cell>
          <cell r="DS41">
            <v>225138</v>
          </cell>
          <cell r="DT41">
            <v>10050</v>
          </cell>
          <cell r="DU41">
            <v>0</v>
          </cell>
          <cell r="DV41">
            <v>0</v>
          </cell>
          <cell r="DW41">
            <v>0</v>
          </cell>
          <cell r="DX41">
            <v>55922</v>
          </cell>
          <cell r="DY41">
            <v>6.1366699999198318</v>
          </cell>
          <cell r="DZ41">
            <v>158805.63</v>
          </cell>
          <cell r="EA41">
            <v>36748</v>
          </cell>
          <cell r="EB41">
            <v>0.96774023648381746</v>
          </cell>
          <cell r="EC41">
            <v>0</v>
          </cell>
          <cell r="ED41">
            <v>1225</v>
          </cell>
          <cell r="EE41">
            <v>37973</v>
          </cell>
          <cell r="EF41">
            <v>5122271.7344102366</v>
          </cell>
          <cell r="EH41">
            <v>4071537.1366699999</v>
          </cell>
          <cell r="EI41">
            <v>10128.201832512437</v>
          </cell>
          <cell r="EJ41">
            <v>10128.201832512437</v>
          </cell>
          <cell r="EK41">
            <v>4963465.1366699999</v>
          </cell>
          <cell r="EL41">
            <v>5001521</v>
          </cell>
          <cell r="EM41">
            <v>-38055.86333000008</v>
          </cell>
          <cell r="EN41">
            <v>-7.6088580513807864E-3</v>
          </cell>
          <cell r="EO41">
            <v>-38055.86333000008</v>
          </cell>
          <cell r="EP41">
            <v>120749.76666999981</v>
          </cell>
          <cell r="EQ41">
            <v>4953415.1366699999</v>
          </cell>
          <cell r="ER41">
            <v>4230342.7666699998</v>
          </cell>
          <cell r="ES41">
            <v>10523.240713109451</v>
          </cell>
          <cell r="ET41">
            <v>300114</v>
          </cell>
          <cell r="EU41">
            <v>38</v>
          </cell>
          <cell r="EV41">
            <v>10361.052573269231</v>
          </cell>
          <cell r="EW41">
            <v>364</v>
          </cell>
        </row>
        <row r="42">
          <cell r="A42">
            <v>284</v>
          </cell>
          <cell r="B42" t="str">
            <v>Marie Reed ES</v>
          </cell>
          <cell r="C42" t="str">
            <v>ES</v>
          </cell>
          <cell r="D42">
            <v>1</v>
          </cell>
          <cell r="E42">
            <v>457</v>
          </cell>
          <cell r="F42">
            <v>0.29499999999999998</v>
          </cell>
          <cell r="G42">
            <v>135</v>
          </cell>
          <cell r="H42">
            <v>195277</v>
          </cell>
          <cell r="I42">
            <v>112569</v>
          </cell>
          <cell r="J42">
            <v>172182</v>
          </cell>
          <cell r="M42">
            <v>90879</v>
          </cell>
          <cell r="N42">
            <v>67876</v>
          </cell>
          <cell r="O42">
            <v>55703</v>
          </cell>
          <cell r="S42">
            <v>78183</v>
          </cell>
          <cell r="T42">
            <v>60194</v>
          </cell>
          <cell r="U42">
            <v>202380</v>
          </cell>
          <cell r="V42">
            <v>112569</v>
          </cell>
          <cell r="X42">
            <v>506561</v>
          </cell>
          <cell r="Z42">
            <v>225138</v>
          </cell>
          <cell r="AA42">
            <v>225138</v>
          </cell>
          <cell r="AB42">
            <v>225138</v>
          </cell>
          <cell r="AC42">
            <v>224928</v>
          </cell>
          <cell r="AD42">
            <v>112464</v>
          </cell>
          <cell r="AE42">
            <v>2026242</v>
          </cell>
          <cell r="AG42">
            <v>112569</v>
          </cell>
          <cell r="AH42">
            <v>450276</v>
          </cell>
          <cell r="AI42">
            <v>787983</v>
          </cell>
          <cell r="AJ42">
            <v>74976</v>
          </cell>
          <cell r="AK42">
            <v>110030</v>
          </cell>
          <cell r="AM42">
            <v>1013121</v>
          </cell>
          <cell r="AP42">
            <v>225138</v>
          </cell>
          <cell r="AR42">
            <v>34000</v>
          </cell>
          <cell r="AS42">
            <v>34000</v>
          </cell>
          <cell r="AW42">
            <v>81600</v>
          </cell>
          <cell r="AX42">
            <v>207217.72</v>
          </cell>
          <cell r="AZ42">
            <v>0</v>
          </cell>
          <cell r="BP42">
            <v>112569</v>
          </cell>
          <cell r="BU42">
            <v>111844</v>
          </cell>
          <cell r="BY42">
            <v>2702</v>
          </cell>
          <cell r="BZ42">
            <v>2628</v>
          </cell>
          <cell r="CA42">
            <v>2285</v>
          </cell>
          <cell r="CB42">
            <v>2285</v>
          </cell>
          <cell r="CC42">
            <v>2628</v>
          </cell>
          <cell r="CD42">
            <v>9140</v>
          </cell>
          <cell r="CK42">
            <v>5000</v>
          </cell>
          <cell r="CL42">
            <v>70583</v>
          </cell>
          <cell r="CM42">
            <v>45700</v>
          </cell>
          <cell r="CN42">
            <v>122040</v>
          </cell>
          <cell r="CO42">
            <v>10106</v>
          </cell>
          <cell r="CX42">
            <v>69396</v>
          </cell>
          <cell r="CY42">
            <v>10125</v>
          </cell>
          <cell r="DC42">
            <v>122769</v>
          </cell>
          <cell r="DD42">
            <v>8526131.7199999988</v>
          </cell>
          <cell r="DE42">
            <v>12.5</v>
          </cell>
          <cell r="DF42">
            <v>8526144.2199999988</v>
          </cell>
          <cell r="DG42">
            <v>122144.73</v>
          </cell>
          <cell r="DH42">
            <v>8000</v>
          </cell>
          <cell r="DI42">
            <v>8526144.2199999988</v>
          </cell>
          <cell r="DJ42">
            <v>8656288.9499999993</v>
          </cell>
          <cell r="DK42">
            <v>4549476</v>
          </cell>
          <cell r="DL42">
            <v>341755</v>
          </cell>
          <cell r="DM42">
            <v>68000</v>
          </cell>
          <cell r="DN42">
            <v>12827</v>
          </cell>
          <cell r="DO42">
            <v>260928</v>
          </cell>
          <cell r="DP42">
            <v>0.76349431610364149</v>
          </cell>
          <cell r="DQ42">
            <v>4886853</v>
          </cell>
          <cell r="DR42">
            <v>1535834</v>
          </cell>
          <cell r="DS42">
            <v>1238259</v>
          </cell>
          <cell r="DT42">
            <v>288817.71999999997</v>
          </cell>
          <cell r="DU42">
            <v>0</v>
          </cell>
          <cell r="DV42">
            <v>0</v>
          </cell>
          <cell r="DW42">
            <v>0</v>
          </cell>
          <cell r="DX42">
            <v>111844</v>
          </cell>
          <cell r="DY42">
            <v>122781.5</v>
          </cell>
          <cell r="DZ42">
            <v>130144.73</v>
          </cell>
          <cell r="EA42">
            <v>260928</v>
          </cell>
          <cell r="EB42">
            <v>0.76349431610364149</v>
          </cell>
          <cell r="EC42">
            <v>68000</v>
          </cell>
          <cell r="ED42">
            <v>12827</v>
          </cell>
          <cell r="EE42">
            <v>341755</v>
          </cell>
          <cell r="EF42">
            <v>8656289.7134943157</v>
          </cell>
          <cell r="EH42">
            <v>5009634.5</v>
          </cell>
          <cell r="EI42">
            <v>10962.001094091904</v>
          </cell>
          <cell r="EJ42">
            <v>10693.359956236323</v>
          </cell>
          <cell r="EK42">
            <v>8526144.2199999988</v>
          </cell>
          <cell r="EL42">
            <v>8364575</v>
          </cell>
          <cell r="EM42">
            <v>161569.21999999881</v>
          </cell>
          <cell r="EN42">
            <v>1.9315891124175325E-2</v>
          </cell>
          <cell r="EO42">
            <v>161569.21999999881</v>
          </cell>
          <cell r="EP42">
            <v>291713.94999999925</v>
          </cell>
          <cell r="EQ42">
            <v>8237326.4999999991</v>
          </cell>
          <cell r="ER42">
            <v>5139779.2300000004</v>
          </cell>
          <cell r="ES42">
            <v>11246.781684901533</v>
          </cell>
          <cell r="ET42">
            <v>900342</v>
          </cell>
          <cell r="EU42">
            <v>98</v>
          </cell>
          <cell r="EV42">
            <v>11446.49721448468</v>
          </cell>
          <cell r="EW42">
            <v>359</v>
          </cell>
        </row>
        <row r="43">
          <cell r="A43">
            <v>274</v>
          </cell>
          <cell r="B43" t="str">
            <v>Maury ES</v>
          </cell>
          <cell r="C43" t="str">
            <v>ES</v>
          </cell>
          <cell r="D43">
            <v>6</v>
          </cell>
          <cell r="E43">
            <v>509</v>
          </cell>
          <cell r="F43">
            <v>0.13400000000000001</v>
          </cell>
          <cell r="G43">
            <v>68</v>
          </cell>
          <cell r="H43">
            <v>195277</v>
          </cell>
          <cell r="I43">
            <v>112569</v>
          </cell>
          <cell r="J43">
            <v>203488</v>
          </cell>
          <cell r="M43">
            <v>90879</v>
          </cell>
          <cell r="N43">
            <v>67876</v>
          </cell>
          <cell r="O43">
            <v>65831</v>
          </cell>
          <cell r="S43">
            <v>78183</v>
          </cell>
          <cell r="T43">
            <v>60194</v>
          </cell>
          <cell r="U43">
            <v>151785</v>
          </cell>
          <cell r="V43">
            <v>112569</v>
          </cell>
          <cell r="X43">
            <v>506561</v>
          </cell>
          <cell r="Z43">
            <v>225138</v>
          </cell>
          <cell r="AA43">
            <v>112569</v>
          </cell>
          <cell r="AB43">
            <v>225138</v>
          </cell>
          <cell r="AC43">
            <v>187440</v>
          </cell>
          <cell r="AD43">
            <v>149952</v>
          </cell>
          <cell r="AE43">
            <v>2251380</v>
          </cell>
          <cell r="AG43">
            <v>112569</v>
          </cell>
          <cell r="AH43">
            <v>112569</v>
          </cell>
          <cell r="AI43">
            <v>450276</v>
          </cell>
          <cell r="AM43">
            <v>112569</v>
          </cell>
          <cell r="AW43">
            <v>0</v>
          </cell>
          <cell r="AX43">
            <v>0</v>
          </cell>
          <cell r="AY43">
            <v>12725</v>
          </cell>
          <cell r="AZ43">
            <v>0</v>
          </cell>
          <cell r="BU43">
            <v>111844</v>
          </cell>
          <cell r="BZ43">
            <v>2927</v>
          </cell>
          <cell r="CA43">
            <v>2545</v>
          </cell>
          <cell r="CB43">
            <v>2545</v>
          </cell>
          <cell r="CC43">
            <v>2927</v>
          </cell>
          <cell r="CD43">
            <v>10180</v>
          </cell>
          <cell r="CM43">
            <v>50900</v>
          </cell>
          <cell r="CN43">
            <v>89916</v>
          </cell>
          <cell r="CO43">
            <v>6422</v>
          </cell>
          <cell r="CY43">
            <v>2625</v>
          </cell>
          <cell r="DC43">
            <v>0</v>
          </cell>
          <cell r="DD43">
            <v>5880368</v>
          </cell>
          <cell r="DE43">
            <v>8.1766669992357492</v>
          </cell>
          <cell r="DF43">
            <v>5880376.1766669992</v>
          </cell>
          <cell r="DG43">
            <v>81936.820000000007</v>
          </cell>
          <cell r="DH43">
            <v>112569</v>
          </cell>
          <cell r="DI43">
            <v>5880376.1766669992</v>
          </cell>
          <cell r="DJ43">
            <v>6074881.9966669995</v>
          </cell>
          <cell r="DK43">
            <v>4675029</v>
          </cell>
          <cell r="DL43">
            <v>172143</v>
          </cell>
          <cell r="DM43">
            <v>0</v>
          </cell>
          <cell r="DN43">
            <v>2625</v>
          </cell>
          <cell r="DO43">
            <v>169518</v>
          </cell>
          <cell r="DP43">
            <v>0.98475104999912866</v>
          </cell>
          <cell r="DQ43">
            <v>4795673</v>
          </cell>
          <cell r="DR43">
            <v>675414</v>
          </cell>
          <cell r="DS43">
            <v>112569</v>
          </cell>
          <cell r="DT43">
            <v>12725</v>
          </cell>
          <cell r="DU43">
            <v>0</v>
          </cell>
          <cell r="DV43">
            <v>0</v>
          </cell>
          <cell r="DW43">
            <v>0</v>
          </cell>
          <cell r="DX43">
            <v>111844</v>
          </cell>
          <cell r="DY43">
            <v>8.1766669992357492</v>
          </cell>
          <cell r="DZ43">
            <v>194505.82</v>
          </cell>
          <cell r="EA43">
            <v>169518</v>
          </cell>
          <cell r="EB43">
            <v>0.98475104999912866</v>
          </cell>
          <cell r="EC43">
            <v>0</v>
          </cell>
          <cell r="ED43">
            <v>2625</v>
          </cell>
          <cell r="EE43">
            <v>172143</v>
          </cell>
          <cell r="EF43">
            <v>6074882.9814180499</v>
          </cell>
          <cell r="EH43">
            <v>4795681.1766669992</v>
          </cell>
          <cell r="EI43">
            <v>9421.7704846110009</v>
          </cell>
          <cell r="EJ43">
            <v>9421.7704846110009</v>
          </cell>
          <cell r="EK43">
            <v>5880376.1766669992</v>
          </cell>
          <cell r="EL43">
            <v>5504660</v>
          </cell>
          <cell r="EM43">
            <v>375716.17666699924</v>
          </cell>
          <cell r="EN43">
            <v>6.8254202197229122E-2</v>
          </cell>
          <cell r="EO43">
            <v>375716.17666699924</v>
          </cell>
          <cell r="EP43">
            <v>570221.99666699953</v>
          </cell>
          <cell r="EQ43">
            <v>5867651.1766669992</v>
          </cell>
          <cell r="ER43">
            <v>4990186.9966669995</v>
          </cell>
          <cell r="ES43">
            <v>9803.9037262612965</v>
          </cell>
          <cell r="ET43">
            <v>750285</v>
          </cell>
          <cell r="EU43">
            <v>82</v>
          </cell>
          <cell r="EV43">
            <v>9473.9957298992958</v>
          </cell>
          <cell r="EW43">
            <v>427</v>
          </cell>
        </row>
        <row r="44">
          <cell r="A44">
            <v>280</v>
          </cell>
          <cell r="B44" t="str">
            <v>Miner ES</v>
          </cell>
          <cell r="C44" t="str">
            <v>ES</v>
          </cell>
          <cell r="D44">
            <v>6</v>
          </cell>
          <cell r="E44">
            <v>418</v>
          </cell>
          <cell r="F44">
            <v>0.63900000000000001</v>
          </cell>
          <cell r="G44">
            <v>267</v>
          </cell>
          <cell r="H44">
            <v>195277</v>
          </cell>
          <cell r="I44">
            <v>112569</v>
          </cell>
          <cell r="J44">
            <v>156529</v>
          </cell>
          <cell r="M44">
            <v>90879</v>
          </cell>
          <cell r="N44">
            <v>67876</v>
          </cell>
          <cell r="O44">
            <v>50639</v>
          </cell>
          <cell r="S44">
            <v>78183</v>
          </cell>
          <cell r="T44">
            <v>60194</v>
          </cell>
          <cell r="U44">
            <v>101190</v>
          </cell>
          <cell r="V44">
            <v>112569</v>
          </cell>
          <cell r="W44">
            <v>112569.07</v>
          </cell>
          <cell r="X44">
            <v>506561</v>
          </cell>
          <cell r="Y44">
            <v>337707</v>
          </cell>
          <cell r="Z44">
            <v>337707</v>
          </cell>
          <cell r="AA44">
            <v>112569</v>
          </cell>
          <cell r="AB44">
            <v>450276</v>
          </cell>
          <cell r="AC44">
            <v>299904</v>
          </cell>
          <cell r="AD44">
            <v>112464</v>
          </cell>
          <cell r="AE44">
            <v>1688535</v>
          </cell>
          <cell r="AG44">
            <v>112569</v>
          </cell>
          <cell r="AH44">
            <v>225138</v>
          </cell>
          <cell r="AI44">
            <v>900552</v>
          </cell>
          <cell r="AJ44">
            <v>187440</v>
          </cell>
          <cell r="AM44">
            <v>112569</v>
          </cell>
          <cell r="AR44">
            <v>20400</v>
          </cell>
          <cell r="AS44">
            <v>20400</v>
          </cell>
          <cell r="AT44">
            <v>10200</v>
          </cell>
          <cell r="AW44">
            <v>40800</v>
          </cell>
          <cell r="AX44">
            <v>189533.42</v>
          </cell>
          <cell r="AZ44">
            <v>0</v>
          </cell>
          <cell r="BU44">
            <v>111844</v>
          </cell>
          <cell r="BY44">
            <v>5350</v>
          </cell>
          <cell r="BZ44">
            <v>2404</v>
          </cell>
          <cell r="CA44">
            <v>2090</v>
          </cell>
          <cell r="CB44">
            <v>2090</v>
          </cell>
          <cell r="CC44">
            <v>2404</v>
          </cell>
          <cell r="CD44">
            <v>8360</v>
          </cell>
          <cell r="CM44">
            <v>41800</v>
          </cell>
          <cell r="CN44">
            <v>103200</v>
          </cell>
          <cell r="CO44">
            <v>5378</v>
          </cell>
          <cell r="CY44">
            <v>23725</v>
          </cell>
          <cell r="DC44">
            <v>112569</v>
          </cell>
          <cell r="DD44">
            <v>7225012.4900000002</v>
          </cell>
          <cell r="DE44">
            <v>-112559.72333000042</v>
          </cell>
          <cell r="DF44">
            <v>7112452.7666699998</v>
          </cell>
          <cell r="DG44">
            <v>242135.14</v>
          </cell>
          <cell r="DH44">
            <v>187545</v>
          </cell>
          <cell r="DI44">
            <v>7112452.7666699998</v>
          </cell>
          <cell r="DJ44">
            <v>7542132.9066699995</v>
          </cell>
          <cell r="DK44">
            <v>4574649.07</v>
          </cell>
          <cell r="DL44">
            <v>675915</v>
          </cell>
          <cell r="DM44">
            <v>51000</v>
          </cell>
          <cell r="DN44">
            <v>366782</v>
          </cell>
          <cell r="DO44">
            <v>258133</v>
          </cell>
          <cell r="DP44">
            <v>0.38190157046374174</v>
          </cell>
          <cell r="DQ44">
            <v>4556083.07</v>
          </cell>
          <cell r="DR44">
            <v>1425699</v>
          </cell>
          <cell r="DS44">
            <v>112569</v>
          </cell>
          <cell r="DT44">
            <v>230333.42</v>
          </cell>
          <cell r="DU44">
            <v>0</v>
          </cell>
          <cell r="DV44">
            <v>0</v>
          </cell>
          <cell r="DW44">
            <v>0</v>
          </cell>
          <cell r="DX44">
            <v>111844</v>
          </cell>
          <cell r="DY44">
            <v>9.2766699995845556</v>
          </cell>
          <cell r="DZ44">
            <v>429680.14</v>
          </cell>
          <cell r="EA44">
            <v>258133</v>
          </cell>
          <cell r="EB44">
            <v>0.38190157046374174</v>
          </cell>
          <cell r="EC44">
            <v>51000</v>
          </cell>
          <cell r="ED44">
            <v>366782</v>
          </cell>
          <cell r="EE44">
            <v>675915</v>
          </cell>
          <cell r="EF44">
            <v>7542133.2885715701</v>
          </cell>
          <cell r="EH44">
            <v>4556092.3466699999</v>
          </cell>
          <cell r="EI44">
            <v>10899.742456148326</v>
          </cell>
          <cell r="EJ44">
            <v>10630.438628397129</v>
          </cell>
          <cell r="EK44">
            <v>7112452.7666699998</v>
          </cell>
          <cell r="EL44">
            <v>6655248</v>
          </cell>
          <cell r="EM44">
            <v>457204.76666999981</v>
          </cell>
          <cell r="EN44">
            <v>6.8698381588484722E-2</v>
          </cell>
          <cell r="EO44">
            <v>457204.76666999981</v>
          </cell>
          <cell r="EP44">
            <v>886884.90666999947</v>
          </cell>
          <cell r="EQ44">
            <v>6882119.3466699999</v>
          </cell>
          <cell r="ER44">
            <v>4985772.4866699995</v>
          </cell>
          <cell r="ES44">
            <v>11927.685374808611</v>
          </cell>
          <cell r="ET44">
            <v>1200456</v>
          </cell>
          <cell r="EU44">
            <v>109</v>
          </cell>
          <cell r="EV44">
            <v>10859.664552330096</v>
          </cell>
          <cell r="EW44">
            <v>309</v>
          </cell>
        </row>
        <row r="45">
          <cell r="A45">
            <v>285</v>
          </cell>
          <cell r="B45" t="str">
            <v>Moten ES</v>
          </cell>
          <cell r="C45" t="str">
            <v>ES</v>
          </cell>
          <cell r="D45">
            <v>8</v>
          </cell>
          <cell r="E45">
            <v>238</v>
          </cell>
          <cell r="F45">
            <v>0.90800000000000003</v>
          </cell>
          <cell r="G45">
            <v>216</v>
          </cell>
          <cell r="H45">
            <v>195277</v>
          </cell>
          <cell r="I45">
            <v>112569</v>
          </cell>
          <cell r="M45">
            <v>45440</v>
          </cell>
          <cell r="N45">
            <v>67876</v>
          </cell>
          <cell r="S45">
            <v>78183</v>
          </cell>
          <cell r="T45">
            <v>60194</v>
          </cell>
          <cell r="U45">
            <v>50595</v>
          </cell>
          <cell r="V45">
            <v>56285</v>
          </cell>
          <cell r="W45">
            <v>112569.07</v>
          </cell>
          <cell r="X45">
            <v>337707</v>
          </cell>
          <cell r="Z45">
            <v>225138</v>
          </cell>
          <cell r="AA45">
            <v>112569</v>
          </cell>
          <cell r="AB45">
            <v>225138</v>
          </cell>
          <cell r="AC45">
            <v>187440</v>
          </cell>
          <cell r="AD45">
            <v>74976</v>
          </cell>
          <cell r="AE45">
            <v>1013121</v>
          </cell>
          <cell r="AG45">
            <v>112569</v>
          </cell>
          <cell r="AH45">
            <v>112569</v>
          </cell>
          <cell r="AI45">
            <v>562845</v>
          </cell>
          <cell r="AJ45">
            <v>37488</v>
          </cell>
          <cell r="AN45">
            <v>5628</v>
          </cell>
          <cell r="AR45">
            <v>13600</v>
          </cell>
          <cell r="AS45">
            <v>13600</v>
          </cell>
          <cell r="AT45">
            <v>10200</v>
          </cell>
          <cell r="AW45">
            <v>40800</v>
          </cell>
          <cell r="AX45">
            <v>214568.14500000002</v>
          </cell>
          <cell r="AZ45">
            <v>0</v>
          </cell>
          <cell r="BE45">
            <v>112569</v>
          </cell>
          <cell r="BU45">
            <v>111844</v>
          </cell>
          <cell r="BX45">
            <v>75000</v>
          </cell>
          <cell r="BY45">
            <v>8692</v>
          </cell>
          <cell r="BZ45">
            <v>1369</v>
          </cell>
          <cell r="CA45">
            <v>1190</v>
          </cell>
          <cell r="CB45">
            <v>1190</v>
          </cell>
          <cell r="CC45">
            <v>1369</v>
          </cell>
          <cell r="CD45">
            <v>4760</v>
          </cell>
          <cell r="CM45">
            <v>23800</v>
          </cell>
          <cell r="CN45">
            <v>59137</v>
          </cell>
          <cell r="CO45">
            <v>4928</v>
          </cell>
          <cell r="CY45">
            <v>31850</v>
          </cell>
          <cell r="DA45">
            <v>486950</v>
          </cell>
          <cell r="DB45">
            <v>112569</v>
          </cell>
          <cell r="DC45">
            <v>0</v>
          </cell>
          <cell r="DD45">
            <v>5116161.2149999999</v>
          </cell>
          <cell r="DE45">
            <v>-219727.82899389602</v>
          </cell>
          <cell r="DF45">
            <v>4896433.3860061038</v>
          </cell>
          <cell r="DG45">
            <v>172473.57</v>
          </cell>
          <cell r="DH45">
            <v>155324</v>
          </cell>
          <cell r="DI45">
            <v>4896433.3860061038</v>
          </cell>
          <cell r="DJ45">
            <v>5224230.9560061041</v>
          </cell>
          <cell r="DK45">
            <v>2863848.0700000003</v>
          </cell>
          <cell r="DL45">
            <v>546808</v>
          </cell>
          <cell r="DM45">
            <v>37400</v>
          </cell>
          <cell r="DN45">
            <v>153111</v>
          </cell>
          <cell r="DO45">
            <v>356297</v>
          </cell>
          <cell r="DP45">
            <v>0.65159434390133286</v>
          </cell>
          <cell r="DQ45">
            <v>2809092.0700000003</v>
          </cell>
          <cell r="DR45">
            <v>825471</v>
          </cell>
          <cell r="DS45">
            <v>5628</v>
          </cell>
          <cell r="DT45">
            <v>330368.14500000002</v>
          </cell>
          <cell r="DU45">
            <v>0</v>
          </cell>
          <cell r="DV45">
            <v>0</v>
          </cell>
          <cell r="DW45">
            <v>486950</v>
          </cell>
          <cell r="DX45">
            <v>111844</v>
          </cell>
          <cell r="DY45">
            <v>-219727.82899389602</v>
          </cell>
          <cell r="DZ45">
            <v>327797.57</v>
          </cell>
          <cell r="EA45">
            <v>356297</v>
          </cell>
          <cell r="EB45">
            <v>0.65159434390133286</v>
          </cell>
          <cell r="EC45">
            <v>37400</v>
          </cell>
          <cell r="ED45">
            <v>153111</v>
          </cell>
          <cell r="EE45">
            <v>546808</v>
          </cell>
          <cell r="EF45">
            <v>5224231.6076004477</v>
          </cell>
          <cell r="EH45">
            <v>3076314.2410061043</v>
          </cell>
          <cell r="EI45">
            <v>12925.690088260943</v>
          </cell>
          <cell r="EJ45">
            <v>10406.702693302959</v>
          </cell>
          <cell r="EK45">
            <v>4409483.3860061038</v>
          </cell>
          <cell r="EL45">
            <v>4976781</v>
          </cell>
          <cell r="EM45">
            <v>-567297.61399389617</v>
          </cell>
          <cell r="EN45">
            <v>-0.11398886428675406</v>
          </cell>
          <cell r="EO45">
            <v>-80347.613993896171</v>
          </cell>
          <cell r="EP45">
            <v>247449.95600610413</v>
          </cell>
          <cell r="EQ45">
            <v>4566065.2410061043</v>
          </cell>
          <cell r="ER45">
            <v>3404111.8110061041</v>
          </cell>
          <cell r="ES45">
            <v>14302.990802546656</v>
          </cell>
          <cell r="ET45">
            <v>750285</v>
          </cell>
          <cell r="EU45">
            <v>73</v>
          </cell>
          <cell r="EV45">
            <v>14097.14691518851</v>
          </cell>
          <cell r="EW45">
            <v>165</v>
          </cell>
        </row>
        <row r="46">
          <cell r="A46">
            <v>287</v>
          </cell>
          <cell r="B46" t="str">
            <v>Murch ES</v>
          </cell>
          <cell r="C46" t="str">
            <v>ES</v>
          </cell>
          <cell r="D46">
            <v>3</v>
          </cell>
          <cell r="E46">
            <v>614</v>
          </cell>
          <cell r="F46">
            <v>5.5E-2</v>
          </cell>
          <cell r="G46">
            <v>34</v>
          </cell>
          <cell r="H46">
            <v>195277</v>
          </cell>
          <cell r="I46">
            <v>112569</v>
          </cell>
          <cell r="J46">
            <v>234794</v>
          </cell>
          <cell r="M46">
            <v>90879</v>
          </cell>
          <cell r="N46">
            <v>67876</v>
          </cell>
          <cell r="O46">
            <v>75959</v>
          </cell>
          <cell r="S46">
            <v>78183</v>
          </cell>
          <cell r="T46">
            <v>60194</v>
          </cell>
          <cell r="U46">
            <v>202380</v>
          </cell>
          <cell r="V46">
            <v>112569</v>
          </cell>
          <cell r="X46">
            <v>619130</v>
          </cell>
          <cell r="AB46">
            <v>337707</v>
          </cell>
          <cell r="AC46">
            <v>112464</v>
          </cell>
          <cell r="AD46">
            <v>149952</v>
          </cell>
          <cell r="AE46">
            <v>2814225</v>
          </cell>
          <cell r="AG46">
            <v>112569</v>
          </cell>
          <cell r="AH46">
            <v>112569</v>
          </cell>
          <cell r="AI46">
            <v>900552</v>
          </cell>
          <cell r="AJ46">
            <v>149952</v>
          </cell>
          <cell r="AM46">
            <v>450276</v>
          </cell>
          <cell r="AW46">
            <v>0</v>
          </cell>
          <cell r="AX46">
            <v>0</v>
          </cell>
          <cell r="AY46">
            <v>15350</v>
          </cell>
          <cell r="AZ46">
            <v>0</v>
          </cell>
          <cell r="BU46">
            <v>111844</v>
          </cell>
          <cell r="BZ46">
            <v>3531</v>
          </cell>
          <cell r="CA46">
            <v>3070</v>
          </cell>
          <cell r="CB46">
            <v>3070</v>
          </cell>
          <cell r="CC46">
            <v>3531</v>
          </cell>
          <cell r="CD46">
            <v>12280</v>
          </cell>
          <cell r="CM46">
            <v>61400</v>
          </cell>
          <cell r="CN46">
            <v>112540</v>
          </cell>
          <cell r="CO46">
            <v>7082</v>
          </cell>
          <cell r="CY46">
            <v>5600</v>
          </cell>
          <cell r="DC46">
            <v>0</v>
          </cell>
          <cell r="DD46">
            <v>7329374</v>
          </cell>
          <cell r="DE46">
            <v>9.5666669998317957</v>
          </cell>
          <cell r="DF46">
            <v>7329383.5666669998</v>
          </cell>
          <cell r="DG46">
            <v>60648.07</v>
          </cell>
          <cell r="DH46">
            <v>112569</v>
          </cell>
          <cell r="DI46">
            <v>7329383.5666669998</v>
          </cell>
          <cell r="DJ46">
            <v>7502600.6366670001</v>
          </cell>
          <cell r="DK46">
            <v>5129905</v>
          </cell>
          <cell r="DL46">
            <v>86072</v>
          </cell>
          <cell r="DM46">
            <v>0</v>
          </cell>
          <cell r="DN46">
            <v>5600</v>
          </cell>
          <cell r="DO46">
            <v>80472</v>
          </cell>
          <cell r="DP46">
            <v>0.93493819128171762</v>
          </cell>
          <cell r="DQ46">
            <v>5390190</v>
          </cell>
          <cell r="DR46">
            <v>1275642</v>
          </cell>
          <cell r="DS46">
            <v>450276</v>
          </cell>
          <cell r="DT46">
            <v>15350</v>
          </cell>
          <cell r="DU46">
            <v>0</v>
          </cell>
          <cell r="DV46">
            <v>0</v>
          </cell>
          <cell r="DW46">
            <v>0</v>
          </cell>
          <cell r="DX46">
            <v>111844</v>
          </cell>
          <cell r="DY46">
            <v>9.5666669998317957</v>
          </cell>
          <cell r="DZ46">
            <v>173217.07</v>
          </cell>
          <cell r="EA46">
            <v>80472</v>
          </cell>
          <cell r="EB46">
            <v>0.93493819128171762</v>
          </cell>
          <cell r="EC46">
            <v>0</v>
          </cell>
          <cell r="ED46">
            <v>5600</v>
          </cell>
          <cell r="EE46">
            <v>86072</v>
          </cell>
          <cell r="EF46">
            <v>7502601.5716051916</v>
          </cell>
          <cell r="EH46">
            <v>5390199.5666669998</v>
          </cell>
          <cell r="EI46">
            <v>8778.8266558094456</v>
          </cell>
          <cell r="EJ46">
            <v>8778.8266558094456</v>
          </cell>
          <cell r="EK46">
            <v>7329383.5666669998</v>
          </cell>
          <cell r="EL46">
            <v>7249753</v>
          </cell>
          <cell r="EM46">
            <v>79630.566666999832</v>
          </cell>
          <cell r="EN46">
            <v>1.0983900646959949E-2</v>
          </cell>
          <cell r="EO46">
            <v>79630.566666999832</v>
          </cell>
          <cell r="EP46">
            <v>252847.63666700013</v>
          </cell>
          <cell r="EQ46">
            <v>7314033.5666669998</v>
          </cell>
          <cell r="ER46">
            <v>5563416.6366670001</v>
          </cell>
          <cell r="ES46">
            <v>9060.939147666124</v>
          </cell>
          <cell r="ET46">
            <v>450171</v>
          </cell>
          <cell r="EU46">
            <v>58</v>
          </cell>
          <cell r="EV46">
            <v>8884.9434652284162</v>
          </cell>
          <cell r="EW46">
            <v>556</v>
          </cell>
        </row>
        <row r="47">
          <cell r="A47">
            <v>288</v>
          </cell>
          <cell r="B47" t="str">
            <v>Nalle ES</v>
          </cell>
          <cell r="C47" t="str">
            <v>ES</v>
          </cell>
          <cell r="D47">
            <v>7</v>
          </cell>
          <cell r="E47">
            <v>326</v>
          </cell>
          <cell r="F47">
            <v>0.755</v>
          </cell>
          <cell r="G47">
            <v>246</v>
          </cell>
          <cell r="H47">
            <v>195277</v>
          </cell>
          <cell r="I47">
            <v>112569</v>
          </cell>
          <cell r="J47">
            <v>125223</v>
          </cell>
          <cell r="M47">
            <v>90879</v>
          </cell>
          <cell r="N47">
            <v>67876</v>
          </cell>
          <cell r="S47">
            <v>78183</v>
          </cell>
          <cell r="T47">
            <v>60194</v>
          </cell>
          <cell r="U47">
            <v>101190</v>
          </cell>
          <cell r="V47">
            <v>112569</v>
          </cell>
          <cell r="X47">
            <v>337707</v>
          </cell>
          <cell r="Y47">
            <v>112569</v>
          </cell>
          <cell r="AA47">
            <v>675414</v>
          </cell>
          <cell r="AC47">
            <v>224928</v>
          </cell>
          <cell r="AD47">
            <v>74976</v>
          </cell>
          <cell r="AE47">
            <v>1350828</v>
          </cell>
          <cell r="AG47">
            <v>112569</v>
          </cell>
          <cell r="AH47">
            <v>112569</v>
          </cell>
          <cell r="AI47">
            <v>562845</v>
          </cell>
          <cell r="AJ47">
            <v>37488</v>
          </cell>
          <cell r="AM47">
            <v>225138</v>
          </cell>
          <cell r="AW47">
            <v>0</v>
          </cell>
          <cell r="AX47">
            <v>147819.91</v>
          </cell>
          <cell r="AZ47">
            <v>0</v>
          </cell>
          <cell r="BU47">
            <v>55922</v>
          </cell>
          <cell r="BY47">
            <v>9883</v>
          </cell>
          <cell r="BZ47">
            <v>1875</v>
          </cell>
          <cell r="CA47">
            <v>1630</v>
          </cell>
          <cell r="CB47">
            <v>1630</v>
          </cell>
          <cell r="CC47">
            <v>1875</v>
          </cell>
          <cell r="CD47">
            <v>6520</v>
          </cell>
          <cell r="CM47">
            <v>32600</v>
          </cell>
          <cell r="CN47">
            <v>153626</v>
          </cell>
          <cell r="CO47">
            <v>5875</v>
          </cell>
          <cell r="CY47">
            <v>29250</v>
          </cell>
          <cell r="DC47">
            <v>0</v>
          </cell>
          <cell r="DD47">
            <v>5219496.91</v>
          </cell>
          <cell r="DE47">
            <v>-76804.686669999734</v>
          </cell>
          <cell r="DF47">
            <v>5142692.2233300004</v>
          </cell>
          <cell r="DG47">
            <v>275312.81</v>
          </cell>
          <cell r="DH47">
            <v>205784</v>
          </cell>
          <cell r="DI47">
            <v>5142692.2233300004</v>
          </cell>
          <cell r="DJ47">
            <v>5623789.03333</v>
          </cell>
          <cell r="DK47">
            <v>3573877</v>
          </cell>
          <cell r="DL47">
            <v>622753.92999999993</v>
          </cell>
          <cell r="DM47">
            <v>0</v>
          </cell>
          <cell r="DN47">
            <v>151702</v>
          </cell>
          <cell r="DO47">
            <v>471051.92999999993</v>
          </cell>
          <cell r="DP47">
            <v>0.75640137670427865</v>
          </cell>
          <cell r="DQ47">
            <v>3342392.0700000003</v>
          </cell>
          <cell r="DR47">
            <v>825471</v>
          </cell>
          <cell r="DS47">
            <v>225138</v>
          </cell>
          <cell r="DT47">
            <v>147819.91</v>
          </cell>
          <cell r="DU47">
            <v>0</v>
          </cell>
          <cell r="DV47">
            <v>0</v>
          </cell>
          <cell r="DW47">
            <v>0</v>
          </cell>
          <cell r="DX47">
            <v>55922</v>
          </cell>
          <cell r="DY47">
            <v>-76804.686669999734</v>
          </cell>
          <cell r="DZ47">
            <v>481096.81</v>
          </cell>
          <cell r="EA47">
            <v>471051.92999999993</v>
          </cell>
          <cell r="EB47">
            <v>0.75640137670427865</v>
          </cell>
          <cell r="EC47">
            <v>0</v>
          </cell>
          <cell r="ED47">
            <v>151702</v>
          </cell>
          <cell r="EE47">
            <v>622753.92999999993</v>
          </cell>
          <cell r="EF47">
            <v>5623789.7897313768</v>
          </cell>
          <cell r="EH47">
            <v>3265587.3833300006</v>
          </cell>
          <cell r="EI47">
            <v>10017.139212668713</v>
          </cell>
          <cell r="EJ47">
            <v>10017.139212668713</v>
          </cell>
          <cell r="EK47">
            <v>5142692.2233300004</v>
          </cell>
          <cell r="EL47">
            <v>5235907</v>
          </cell>
          <cell r="EM47">
            <v>-93214.776669999585</v>
          </cell>
          <cell r="EN47">
            <v>-1.780298555150036E-2</v>
          </cell>
          <cell r="EO47">
            <v>-93214.776669999585</v>
          </cell>
          <cell r="EP47">
            <v>387882.03333000001</v>
          </cell>
          <cell r="EQ47">
            <v>4994872.3133300003</v>
          </cell>
          <cell r="ER47">
            <v>3746684.1933300006</v>
          </cell>
          <cell r="ES47">
            <v>11492.896298558284</v>
          </cell>
          <cell r="ET47">
            <v>900342</v>
          </cell>
          <cell r="EU47">
            <v>91</v>
          </cell>
          <cell r="EV47">
            <v>10064.873971617024</v>
          </cell>
          <cell r="EW47">
            <v>235</v>
          </cell>
        </row>
        <row r="48">
          <cell r="A48">
            <v>290</v>
          </cell>
          <cell r="B48" t="str">
            <v>Noyes ES</v>
          </cell>
          <cell r="C48" t="str">
            <v>ES</v>
          </cell>
          <cell r="D48">
            <v>5</v>
          </cell>
          <cell r="E48">
            <v>224</v>
          </cell>
          <cell r="F48">
            <v>0.65200000000000002</v>
          </cell>
          <cell r="G48">
            <v>146</v>
          </cell>
          <cell r="H48">
            <v>195277</v>
          </cell>
          <cell r="I48">
            <v>112569</v>
          </cell>
          <cell r="M48">
            <v>45440</v>
          </cell>
          <cell r="N48">
            <v>67876</v>
          </cell>
          <cell r="S48">
            <v>78183</v>
          </cell>
          <cell r="T48">
            <v>60194</v>
          </cell>
          <cell r="U48">
            <v>50595</v>
          </cell>
          <cell r="V48">
            <v>56285</v>
          </cell>
          <cell r="W48">
            <v>56284.54</v>
          </cell>
          <cell r="X48">
            <v>337707</v>
          </cell>
          <cell r="Z48">
            <v>112569</v>
          </cell>
          <cell r="AA48">
            <v>112569</v>
          </cell>
          <cell r="AB48">
            <v>112569</v>
          </cell>
          <cell r="AC48">
            <v>112464</v>
          </cell>
          <cell r="AD48">
            <v>74976</v>
          </cell>
          <cell r="AE48">
            <v>1125690</v>
          </cell>
          <cell r="AG48">
            <v>112569</v>
          </cell>
          <cell r="AH48">
            <v>112569</v>
          </cell>
          <cell r="AI48">
            <v>787983</v>
          </cell>
          <cell r="AJ48">
            <v>187440</v>
          </cell>
          <cell r="AM48">
            <v>225138</v>
          </cell>
          <cell r="AR48">
            <v>13600</v>
          </cell>
          <cell r="AS48">
            <v>13600</v>
          </cell>
          <cell r="AT48">
            <v>10200</v>
          </cell>
          <cell r="AW48">
            <v>27200</v>
          </cell>
          <cell r="AX48">
            <v>101567.79000000001</v>
          </cell>
          <cell r="AZ48">
            <v>0</v>
          </cell>
          <cell r="BU48">
            <v>55922</v>
          </cell>
          <cell r="BY48">
            <v>2915</v>
          </cell>
          <cell r="BZ48">
            <v>1288</v>
          </cell>
          <cell r="CA48">
            <v>1120</v>
          </cell>
          <cell r="CB48">
            <v>1120</v>
          </cell>
          <cell r="CC48">
            <v>1288</v>
          </cell>
          <cell r="CD48">
            <v>4480</v>
          </cell>
          <cell r="CM48">
            <v>22400</v>
          </cell>
          <cell r="CN48">
            <v>65699</v>
          </cell>
          <cell r="CO48">
            <v>3978</v>
          </cell>
          <cell r="CY48">
            <v>17550</v>
          </cell>
          <cell r="DC48">
            <v>112569</v>
          </cell>
          <cell r="DD48">
            <v>4593443.33</v>
          </cell>
          <cell r="DE48">
            <v>-56278.853330000304</v>
          </cell>
          <cell r="DF48">
            <v>4537164.4766699998</v>
          </cell>
          <cell r="DG48">
            <v>106431.58</v>
          </cell>
          <cell r="DH48">
            <v>0</v>
          </cell>
          <cell r="DI48">
            <v>4537164.4766699998</v>
          </cell>
          <cell r="DJ48">
            <v>4643596.0566699998</v>
          </cell>
          <cell r="DK48">
            <v>2623648.54</v>
          </cell>
          <cell r="DL48">
            <v>369601.5</v>
          </cell>
          <cell r="DM48">
            <v>37400</v>
          </cell>
          <cell r="DN48">
            <v>20465</v>
          </cell>
          <cell r="DO48">
            <v>311736.5</v>
          </cell>
          <cell r="DP48">
            <v>0.84343948820554027</v>
          </cell>
          <cell r="DQ48">
            <v>2500884.04</v>
          </cell>
          <cell r="DR48">
            <v>1200561</v>
          </cell>
          <cell r="DS48">
            <v>225138</v>
          </cell>
          <cell r="DT48">
            <v>128767.79000000001</v>
          </cell>
          <cell r="DU48">
            <v>0</v>
          </cell>
          <cell r="DV48">
            <v>0</v>
          </cell>
          <cell r="DW48">
            <v>0</v>
          </cell>
          <cell r="DX48">
            <v>55922</v>
          </cell>
          <cell r="DY48">
            <v>56290.146669999696</v>
          </cell>
          <cell r="DZ48">
            <v>106431.58</v>
          </cell>
          <cell r="EA48">
            <v>311736.5</v>
          </cell>
          <cell r="EB48">
            <v>0.84343948820554027</v>
          </cell>
          <cell r="EC48">
            <v>37400</v>
          </cell>
          <cell r="ED48">
            <v>20465</v>
          </cell>
          <cell r="EE48">
            <v>369601.5</v>
          </cell>
          <cell r="EF48">
            <v>4643596.9001094876</v>
          </cell>
          <cell r="EH48">
            <v>2557174.1866699997</v>
          </cell>
          <cell r="EI48">
            <v>11415.95619049107</v>
          </cell>
          <cell r="EJ48">
            <v>10913.416011919642</v>
          </cell>
          <cell r="EK48">
            <v>4537164.4766699998</v>
          </cell>
          <cell r="EL48">
            <v>4318703</v>
          </cell>
          <cell r="EM48">
            <v>218461.47666999977</v>
          </cell>
          <cell r="EN48">
            <v>5.058497346772857E-2</v>
          </cell>
          <cell r="EO48">
            <v>218461.47666999977</v>
          </cell>
          <cell r="EP48">
            <v>324893.05666999985</v>
          </cell>
          <cell r="EQ48">
            <v>4408396.6866699997</v>
          </cell>
          <cell r="ER48">
            <v>2663605.7666699998</v>
          </cell>
          <cell r="ES48">
            <v>11891.097172633928</v>
          </cell>
          <cell r="ET48">
            <v>450171</v>
          </cell>
          <cell r="EU48">
            <v>49</v>
          </cell>
          <cell r="EV48">
            <v>12040.018209542855</v>
          </cell>
          <cell r="EW48">
            <v>175</v>
          </cell>
        </row>
        <row r="49">
          <cell r="A49">
            <v>294</v>
          </cell>
          <cell r="B49" t="str">
            <v>Patterson ES</v>
          </cell>
          <cell r="C49" t="str">
            <v>ES</v>
          </cell>
          <cell r="D49">
            <v>8</v>
          </cell>
          <cell r="E49">
            <v>314</v>
          </cell>
          <cell r="F49">
            <v>0.85699999999999998</v>
          </cell>
          <cell r="G49">
            <v>269</v>
          </cell>
          <cell r="H49">
            <v>195277</v>
          </cell>
          <cell r="I49">
            <v>112569</v>
          </cell>
          <cell r="J49">
            <v>125223</v>
          </cell>
          <cell r="M49">
            <v>90879</v>
          </cell>
          <cell r="N49">
            <v>67876</v>
          </cell>
          <cell r="S49">
            <v>78183</v>
          </cell>
          <cell r="T49">
            <v>60194</v>
          </cell>
          <cell r="U49">
            <v>101190</v>
          </cell>
          <cell r="V49">
            <v>112569</v>
          </cell>
          <cell r="X49">
            <v>337707</v>
          </cell>
          <cell r="Y49">
            <v>168854</v>
          </cell>
          <cell r="Z49">
            <v>225138</v>
          </cell>
          <cell r="AB49">
            <v>225138</v>
          </cell>
          <cell r="AC49">
            <v>149952</v>
          </cell>
          <cell r="AD49">
            <v>74976</v>
          </cell>
          <cell r="AE49">
            <v>1350828</v>
          </cell>
          <cell r="AG49">
            <v>112569</v>
          </cell>
          <cell r="AH49">
            <v>112569</v>
          </cell>
          <cell r="AI49">
            <v>787983</v>
          </cell>
          <cell r="AJ49">
            <v>262416</v>
          </cell>
          <cell r="AN49">
            <v>5628</v>
          </cell>
          <cell r="AR49">
            <v>27200</v>
          </cell>
          <cell r="AS49">
            <v>27200</v>
          </cell>
          <cell r="AT49">
            <v>10200</v>
          </cell>
          <cell r="AW49">
            <v>54400</v>
          </cell>
          <cell r="AX49">
            <v>249028.39500000002</v>
          </cell>
          <cell r="AZ49">
            <v>0</v>
          </cell>
          <cell r="BE49">
            <v>112569</v>
          </cell>
          <cell r="BU49">
            <v>111844</v>
          </cell>
          <cell r="BX49">
            <v>75000</v>
          </cell>
          <cell r="BY49">
            <v>10812</v>
          </cell>
          <cell r="BZ49">
            <v>1806</v>
          </cell>
          <cell r="CA49">
            <v>1570</v>
          </cell>
          <cell r="CB49">
            <v>1570</v>
          </cell>
          <cell r="CC49">
            <v>1806</v>
          </cell>
          <cell r="CD49">
            <v>6280</v>
          </cell>
          <cell r="CM49">
            <v>31400</v>
          </cell>
          <cell r="CN49">
            <v>76591</v>
          </cell>
          <cell r="CO49">
            <v>4924</v>
          </cell>
          <cell r="CY49">
            <v>27950</v>
          </cell>
          <cell r="DA49">
            <v>791309</v>
          </cell>
          <cell r="DB49">
            <v>112569</v>
          </cell>
          <cell r="DC49">
            <v>0</v>
          </cell>
          <cell r="DD49">
            <v>6493746.3949999996</v>
          </cell>
          <cell r="DE49">
            <v>-107155.84565689415</v>
          </cell>
          <cell r="DF49">
            <v>6386590.5493431054</v>
          </cell>
          <cell r="DG49">
            <v>134556.64000000001</v>
          </cell>
          <cell r="DH49">
            <v>196265.3</v>
          </cell>
          <cell r="DI49">
            <v>6386590.5493431054</v>
          </cell>
          <cell r="DJ49">
            <v>6717412.4893431058</v>
          </cell>
          <cell r="DK49">
            <v>3194079</v>
          </cell>
          <cell r="DL49">
            <v>680977</v>
          </cell>
          <cell r="DM49">
            <v>64600</v>
          </cell>
          <cell r="DN49">
            <v>320185</v>
          </cell>
          <cell r="DO49">
            <v>296192</v>
          </cell>
          <cell r="DP49">
            <v>0.43495154755593801</v>
          </cell>
          <cell r="DQ49">
            <v>3250023</v>
          </cell>
          <cell r="DR49">
            <v>1275537</v>
          </cell>
          <cell r="DS49">
            <v>5628</v>
          </cell>
          <cell r="DT49">
            <v>378428.39500000002</v>
          </cell>
          <cell r="DU49">
            <v>0</v>
          </cell>
          <cell r="DV49">
            <v>0</v>
          </cell>
          <cell r="DW49">
            <v>791309</v>
          </cell>
          <cell r="DX49">
            <v>111844</v>
          </cell>
          <cell r="DY49">
            <v>-107155.84565689415</v>
          </cell>
          <cell r="DZ49">
            <v>330821.94</v>
          </cell>
          <cell r="EA49">
            <v>296192</v>
          </cell>
          <cell r="EB49">
            <v>0.43495154755593801</v>
          </cell>
          <cell r="EC49">
            <v>64600</v>
          </cell>
          <cell r="ED49">
            <v>320185</v>
          </cell>
          <cell r="EE49">
            <v>680977</v>
          </cell>
          <cell r="EF49">
            <v>6717412.9242946533</v>
          </cell>
          <cell r="EH49">
            <v>3934176.1543431059</v>
          </cell>
          <cell r="EI49">
            <v>12529.223421474859</v>
          </cell>
          <cell r="EJ49">
            <v>9650.6310647869614</v>
          </cell>
          <cell r="EK49">
            <v>5595281.5493431054</v>
          </cell>
          <cell r="EL49">
            <v>6545369</v>
          </cell>
          <cell r="EM49">
            <v>-950087.45065689459</v>
          </cell>
          <cell r="EN49">
            <v>-0.14515414648996788</v>
          </cell>
          <cell r="EO49">
            <v>-158778.45065689459</v>
          </cell>
          <cell r="EP49">
            <v>172043.48934310582</v>
          </cell>
          <cell r="EQ49">
            <v>6008162.1543431059</v>
          </cell>
          <cell r="ER49">
            <v>4264998.0943431063</v>
          </cell>
          <cell r="ES49">
            <v>13582.796478799701</v>
          </cell>
          <cell r="ET49">
            <v>600228</v>
          </cell>
          <cell r="EU49">
            <v>67</v>
          </cell>
          <cell r="EV49">
            <v>13497.765807057109</v>
          </cell>
          <cell r="EW49">
            <v>247</v>
          </cell>
        </row>
        <row r="50">
          <cell r="A50">
            <v>295</v>
          </cell>
          <cell r="B50" t="str">
            <v>Payne ES</v>
          </cell>
          <cell r="C50" t="str">
            <v>ES</v>
          </cell>
          <cell r="D50">
            <v>6</v>
          </cell>
          <cell r="E50">
            <v>324</v>
          </cell>
          <cell r="F50">
            <v>0.47799999999999998</v>
          </cell>
          <cell r="G50">
            <v>155</v>
          </cell>
          <cell r="H50">
            <v>195277</v>
          </cell>
          <cell r="I50">
            <v>112569</v>
          </cell>
          <cell r="J50">
            <v>125223</v>
          </cell>
          <cell r="M50">
            <v>90879</v>
          </cell>
          <cell r="N50">
            <v>67876</v>
          </cell>
          <cell r="S50">
            <v>78183</v>
          </cell>
          <cell r="T50">
            <v>60194</v>
          </cell>
          <cell r="U50">
            <v>101190</v>
          </cell>
          <cell r="V50">
            <v>112569</v>
          </cell>
          <cell r="X50">
            <v>337707</v>
          </cell>
          <cell r="Z50">
            <v>337707</v>
          </cell>
          <cell r="AB50">
            <v>225138</v>
          </cell>
          <cell r="AC50">
            <v>187440</v>
          </cell>
          <cell r="AD50">
            <v>74976</v>
          </cell>
          <cell r="AE50">
            <v>1238259</v>
          </cell>
          <cell r="AG50">
            <v>112569</v>
          </cell>
          <cell r="AH50">
            <v>337707</v>
          </cell>
          <cell r="AI50">
            <v>900552</v>
          </cell>
          <cell r="AJ50">
            <v>187440</v>
          </cell>
          <cell r="AK50">
            <v>110030</v>
          </cell>
          <cell r="AN50">
            <v>30394</v>
          </cell>
          <cell r="AR50">
            <v>34000</v>
          </cell>
          <cell r="AS50">
            <v>24000</v>
          </cell>
          <cell r="AT50">
            <v>10200</v>
          </cell>
          <cell r="AW50">
            <v>78200</v>
          </cell>
          <cell r="AX50">
            <v>146910.84000000003</v>
          </cell>
          <cell r="AZ50">
            <v>0</v>
          </cell>
          <cell r="BU50">
            <v>55922</v>
          </cell>
          <cell r="BY50">
            <v>3100</v>
          </cell>
          <cell r="BZ50">
            <v>1863</v>
          </cell>
          <cell r="CA50">
            <v>1620</v>
          </cell>
          <cell r="CB50">
            <v>1620</v>
          </cell>
          <cell r="CC50">
            <v>1863</v>
          </cell>
          <cell r="CD50">
            <v>6480</v>
          </cell>
          <cell r="CM50">
            <v>32400</v>
          </cell>
          <cell r="CN50">
            <v>80890</v>
          </cell>
          <cell r="CO50">
            <v>6357</v>
          </cell>
          <cell r="CY50">
            <v>10575</v>
          </cell>
          <cell r="DC50">
            <v>0</v>
          </cell>
          <cell r="DD50">
            <v>5519879.8399999999</v>
          </cell>
          <cell r="DE50">
            <v>116.64306133706123</v>
          </cell>
          <cell r="DF50">
            <v>5519996.4830613369</v>
          </cell>
          <cell r="DG50">
            <v>139567.95000000001</v>
          </cell>
          <cell r="DH50">
            <v>225138</v>
          </cell>
          <cell r="DI50">
            <v>5519996.4830613369</v>
          </cell>
          <cell r="DJ50">
            <v>5884702.4330613371</v>
          </cell>
          <cell r="DK50">
            <v>3238713</v>
          </cell>
          <cell r="DL50">
            <v>392386</v>
          </cell>
          <cell r="DM50">
            <v>68200</v>
          </cell>
          <cell r="DN50">
            <v>13675</v>
          </cell>
          <cell r="DO50">
            <v>310511</v>
          </cell>
          <cell r="DP50">
            <v>0.79134066964672545</v>
          </cell>
          <cell r="DQ50">
            <v>3167769</v>
          </cell>
          <cell r="DR50">
            <v>1648298</v>
          </cell>
          <cell r="DS50">
            <v>30394</v>
          </cell>
          <cell r="DT50">
            <v>225110.84000000003</v>
          </cell>
          <cell r="DU50">
            <v>0</v>
          </cell>
          <cell r="DV50">
            <v>0</v>
          </cell>
          <cell r="DW50">
            <v>0</v>
          </cell>
          <cell r="DX50">
            <v>55922</v>
          </cell>
          <cell r="DY50">
            <v>116.64306133706123</v>
          </cell>
          <cell r="DZ50">
            <v>364705.95</v>
          </cell>
          <cell r="EA50">
            <v>310511</v>
          </cell>
          <cell r="EB50">
            <v>0.79134066964672545</v>
          </cell>
          <cell r="EC50">
            <v>68200</v>
          </cell>
          <cell r="ED50">
            <v>13675</v>
          </cell>
          <cell r="EE50">
            <v>392386</v>
          </cell>
          <cell r="EF50">
            <v>5884703.2244020067</v>
          </cell>
          <cell r="EH50">
            <v>3167885.6430613371</v>
          </cell>
          <cell r="EI50">
            <v>9777.4248242633857</v>
          </cell>
          <cell r="EJ50">
            <v>9777.4248242633857</v>
          </cell>
          <cell r="EK50">
            <v>5519996.4830613369</v>
          </cell>
          <cell r="EL50">
            <v>5403894</v>
          </cell>
          <cell r="EM50">
            <v>116102.48306133691</v>
          </cell>
          <cell r="EN50">
            <v>2.14849667779081E-2</v>
          </cell>
          <cell r="EO50">
            <v>116102.48306133691</v>
          </cell>
          <cell r="EP50">
            <v>480808.4330613371</v>
          </cell>
          <cell r="EQ50">
            <v>5294885.6430613371</v>
          </cell>
          <cell r="ER50">
            <v>3532591.5930613372</v>
          </cell>
          <cell r="ES50">
            <v>10903.060472411535</v>
          </cell>
          <cell r="ET50">
            <v>750285</v>
          </cell>
          <cell r="EU50">
            <v>83</v>
          </cell>
          <cell r="EV50">
            <v>10031.537938013847</v>
          </cell>
          <cell r="EW50">
            <v>241</v>
          </cell>
        </row>
        <row r="51">
          <cell r="A51">
            <v>299</v>
          </cell>
          <cell r="B51" t="str">
            <v>Plummer ES</v>
          </cell>
          <cell r="C51" t="str">
            <v>ES</v>
          </cell>
          <cell r="D51">
            <v>7</v>
          </cell>
          <cell r="E51">
            <v>239</v>
          </cell>
          <cell r="F51">
            <v>0.84099999999999997</v>
          </cell>
          <cell r="G51">
            <v>201</v>
          </cell>
          <cell r="H51">
            <v>195277</v>
          </cell>
          <cell r="I51">
            <v>112569</v>
          </cell>
          <cell r="M51">
            <v>45440</v>
          </cell>
          <cell r="N51">
            <v>67876</v>
          </cell>
          <cell r="S51">
            <v>78183</v>
          </cell>
          <cell r="T51">
            <v>60194</v>
          </cell>
          <cell r="U51">
            <v>50595</v>
          </cell>
          <cell r="V51">
            <v>56285</v>
          </cell>
          <cell r="W51">
            <v>112569.07</v>
          </cell>
          <cell r="X51">
            <v>337707</v>
          </cell>
          <cell r="Y51">
            <v>112569</v>
          </cell>
          <cell r="AA51">
            <v>450276</v>
          </cell>
          <cell r="AC51">
            <v>149952</v>
          </cell>
          <cell r="AD51">
            <v>74976</v>
          </cell>
          <cell r="AE51">
            <v>1013121</v>
          </cell>
          <cell r="AG51">
            <v>112569</v>
          </cell>
          <cell r="AH51">
            <v>112569</v>
          </cell>
          <cell r="AI51">
            <v>675414</v>
          </cell>
          <cell r="AJ51">
            <v>224928</v>
          </cell>
          <cell r="AM51">
            <v>112569</v>
          </cell>
          <cell r="AR51">
            <v>20400</v>
          </cell>
          <cell r="AS51">
            <v>10300</v>
          </cell>
          <cell r="AT51">
            <v>10200</v>
          </cell>
          <cell r="AW51">
            <v>64600</v>
          </cell>
          <cell r="AX51">
            <v>108370.65000000001</v>
          </cell>
          <cell r="AZ51">
            <v>0</v>
          </cell>
          <cell r="BU51">
            <v>55922</v>
          </cell>
          <cell r="BY51">
            <v>8076</v>
          </cell>
          <cell r="BZ51">
            <v>1374</v>
          </cell>
          <cell r="CA51">
            <v>1195</v>
          </cell>
          <cell r="CB51">
            <v>1195</v>
          </cell>
          <cell r="CC51">
            <v>1374</v>
          </cell>
          <cell r="CD51">
            <v>4780</v>
          </cell>
          <cell r="CM51">
            <v>23900</v>
          </cell>
          <cell r="CN51">
            <v>65094</v>
          </cell>
          <cell r="CO51">
            <v>4307</v>
          </cell>
          <cell r="CY51">
            <v>25025</v>
          </cell>
          <cell r="DA51">
            <v>283142</v>
          </cell>
          <cell r="DB51">
            <v>112569</v>
          </cell>
          <cell r="DC51">
            <v>168854</v>
          </cell>
          <cell r="DD51">
            <v>5126315.7200000007</v>
          </cell>
          <cell r="DE51">
            <v>-112663.93000000063</v>
          </cell>
          <cell r="DF51">
            <v>5013651.79</v>
          </cell>
          <cell r="DG51">
            <v>169471.47</v>
          </cell>
          <cell r="DH51">
            <v>189240</v>
          </cell>
          <cell r="DI51">
            <v>5013651.79</v>
          </cell>
          <cell r="DJ51">
            <v>5372363.2599999998</v>
          </cell>
          <cell r="DK51">
            <v>2719267.0700000003</v>
          </cell>
          <cell r="DL51">
            <v>508835.5</v>
          </cell>
          <cell r="DM51">
            <v>40900</v>
          </cell>
          <cell r="DN51">
            <v>145670</v>
          </cell>
          <cell r="DO51">
            <v>322265.5</v>
          </cell>
          <cell r="DP51">
            <v>0.63333926190291356</v>
          </cell>
          <cell r="DQ51">
            <v>2698542.5700000003</v>
          </cell>
          <cell r="DR51">
            <v>1125480</v>
          </cell>
          <cell r="DS51">
            <v>112569</v>
          </cell>
          <cell r="DT51">
            <v>172970.65000000002</v>
          </cell>
          <cell r="DU51">
            <v>0</v>
          </cell>
          <cell r="DV51">
            <v>0</v>
          </cell>
          <cell r="DW51">
            <v>283142</v>
          </cell>
          <cell r="DX51">
            <v>55922</v>
          </cell>
          <cell r="DY51">
            <v>56190.069999999367</v>
          </cell>
          <cell r="DZ51">
            <v>358711.47</v>
          </cell>
          <cell r="EA51">
            <v>322265.5</v>
          </cell>
          <cell r="EB51">
            <v>0.63333926190291356</v>
          </cell>
          <cell r="EC51">
            <v>40900</v>
          </cell>
          <cell r="ED51">
            <v>145670</v>
          </cell>
          <cell r="EE51">
            <v>508835.5</v>
          </cell>
          <cell r="EF51">
            <v>5372363.8933392614</v>
          </cell>
          <cell r="EH51">
            <v>3037874.6399999997</v>
          </cell>
          <cell r="EI51">
            <v>12710.772552301254</v>
          </cell>
          <cell r="EJ51">
            <v>10348.575899581589</v>
          </cell>
          <cell r="EK51">
            <v>4730509.79</v>
          </cell>
          <cell r="EL51">
            <v>4950862</v>
          </cell>
          <cell r="EM51">
            <v>-220352.20999999996</v>
          </cell>
          <cell r="EN51">
            <v>-4.4507847320325221E-2</v>
          </cell>
          <cell r="EO51">
            <v>62789.790000000037</v>
          </cell>
          <cell r="EP51">
            <v>421501.25999999978</v>
          </cell>
          <cell r="EQ51">
            <v>4840681.1399999997</v>
          </cell>
          <cell r="ER51">
            <v>3396586.1099999994</v>
          </cell>
          <cell r="ES51">
            <v>14211.657364016733</v>
          </cell>
          <cell r="ET51">
            <v>600228</v>
          </cell>
          <cell r="EU51">
            <v>64</v>
          </cell>
          <cell r="EV51">
            <v>13929.40937142857</v>
          </cell>
          <cell r="EW51">
            <v>175</v>
          </cell>
        </row>
        <row r="52">
          <cell r="A52">
            <v>300</v>
          </cell>
          <cell r="B52" t="str">
            <v>Powell ES</v>
          </cell>
          <cell r="C52" t="str">
            <v>ES</v>
          </cell>
          <cell r="D52">
            <v>4</v>
          </cell>
          <cell r="E52">
            <v>514</v>
          </cell>
          <cell r="F52">
            <v>0.39300000000000002</v>
          </cell>
          <cell r="G52">
            <v>202</v>
          </cell>
          <cell r="H52">
            <v>195277</v>
          </cell>
          <cell r="I52">
            <v>112569</v>
          </cell>
          <cell r="J52">
            <v>203488</v>
          </cell>
          <cell r="M52">
            <v>90879</v>
          </cell>
          <cell r="N52">
            <v>67876</v>
          </cell>
          <cell r="O52">
            <v>65831</v>
          </cell>
          <cell r="S52">
            <v>78183</v>
          </cell>
          <cell r="T52">
            <v>60194</v>
          </cell>
          <cell r="U52">
            <v>151785</v>
          </cell>
          <cell r="V52">
            <v>112569</v>
          </cell>
          <cell r="X52">
            <v>506561</v>
          </cell>
          <cell r="AA52">
            <v>562845</v>
          </cell>
          <cell r="AC52">
            <v>187440</v>
          </cell>
          <cell r="AD52">
            <v>149952</v>
          </cell>
          <cell r="AE52">
            <v>2476518</v>
          </cell>
          <cell r="AG52">
            <v>112569</v>
          </cell>
          <cell r="AH52">
            <v>225138</v>
          </cell>
          <cell r="AI52">
            <v>787983</v>
          </cell>
          <cell r="AJ52">
            <v>74976</v>
          </cell>
          <cell r="AM52">
            <v>1688535</v>
          </cell>
          <cell r="AP52">
            <v>337707</v>
          </cell>
          <cell r="AR52">
            <v>47600</v>
          </cell>
          <cell r="AS52">
            <v>47600</v>
          </cell>
          <cell r="AW52">
            <v>95200</v>
          </cell>
          <cell r="AX52">
            <v>233063.74000000002</v>
          </cell>
          <cell r="AZ52">
            <v>0</v>
          </cell>
          <cell r="BU52">
            <v>111844</v>
          </cell>
          <cell r="BY52">
            <v>4048</v>
          </cell>
          <cell r="BZ52">
            <v>2956</v>
          </cell>
          <cell r="CA52">
            <v>2570</v>
          </cell>
          <cell r="CB52">
            <v>2570</v>
          </cell>
          <cell r="CC52">
            <v>2956</v>
          </cell>
          <cell r="CD52">
            <v>10280</v>
          </cell>
          <cell r="CM52">
            <v>51400</v>
          </cell>
          <cell r="CN52">
            <v>132807</v>
          </cell>
          <cell r="CO52">
            <v>4517</v>
          </cell>
          <cell r="CY52">
            <v>27500</v>
          </cell>
          <cell r="DC52">
            <v>10200</v>
          </cell>
          <cell r="DD52">
            <v>9035986.7400000002</v>
          </cell>
          <cell r="DE52">
            <v>13.666670000180602</v>
          </cell>
          <cell r="DF52">
            <v>9036000.4066700004</v>
          </cell>
          <cell r="DG52">
            <v>220932.61</v>
          </cell>
          <cell r="DH52">
            <v>227087</v>
          </cell>
          <cell r="DI52">
            <v>9036000.4066700004</v>
          </cell>
          <cell r="DJ52">
            <v>9484020.0166699998</v>
          </cell>
          <cell r="DK52">
            <v>4941861</v>
          </cell>
          <cell r="DL52">
            <v>511367</v>
          </cell>
          <cell r="DM52">
            <v>95200</v>
          </cell>
          <cell r="DN52">
            <v>31548</v>
          </cell>
          <cell r="DO52">
            <v>384619</v>
          </cell>
          <cell r="DP52">
            <v>0.75213887481984565</v>
          </cell>
          <cell r="DQ52">
            <v>4847404</v>
          </cell>
          <cell r="DR52">
            <v>1200666</v>
          </cell>
          <cell r="DS52">
            <v>2026242</v>
          </cell>
          <cell r="DT52">
            <v>328263.74</v>
          </cell>
          <cell r="DU52">
            <v>0</v>
          </cell>
          <cell r="DV52">
            <v>0</v>
          </cell>
          <cell r="DW52">
            <v>0</v>
          </cell>
          <cell r="DX52">
            <v>111844</v>
          </cell>
          <cell r="DY52">
            <v>10213.666670000181</v>
          </cell>
          <cell r="DZ52">
            <v>448019.61</v>
          </cell>
          <cell r="EA52">
            <v>384619</v>
          </cell>
          <cell r="EB52">
            <v>0.75213887481984565</v>
          </cell>
          <cell r="EC52">
            <v>95200</v>
          </cell>
          <cell r="ED52">
            <v>31548</v>
          </cell>
          <cell r="EE52">
            <v>511367</v>
          </cell>
          <cell r="EF52">
            <v>9484020.7688088752</v>
          </cell>
          <cell r="EH52">
            <v>4857617.6666700002</v>
          </cell>
          <cell r="EI52">
            <v>9450.6180285408573</v>
          </cell>
          <cell r="EJ52">
            <v>9430.7736705642019</v>
          </cell>
          <cell r="EK52">
            <v>9036000.4066700004</v>
          </cell>
          <cell r="EL52">
            <v>8869383</v>
          </cell>
          <cell r="EM52">
            <v>166617.4066700004</v>
          </cell>
          <cell r="EN52">
            <v>1.8785681785305743E-2</v>
          </cell>
          <cell r="EO52">
            <v>166617.4066700004</v>
          </cell>
          <cell r="EP52">
            <v>614637.01666999981</v>
          </cell>
          <cell r="EQ52">
            <v>8707736.6666700002</v>
          </cell>
          <cell r="ER52">
            <v>5305637.2766700005</v>
          </cell>
          <cell r="ES52">
            <v>10322.251511031129</v>
          </cell>
          <cell r="ET52">
            <v>750285</v>
          </cell>
          <cell r="EU52">
            <v>81</v>
          </cell>
          <cell r="EV52">
            <v>9485.75673595843</v>
          </cell>
          <cell r="EW52">
            <v>433</v>
          </cell>
        </row>
        <row r="53">
          <cell r="A53">
            <v>316</v>
          </cell>
          <cell r="B53" t="str">
            <v>Randle Highlands ES</v>
          </cell>
          <cell r="C53" t="str">
            <v>ES</v>
          </cell>
          <cell r="D53">
            <v>7</v>
          </cell>
          <cell r="E53">
            <v>331</v>
          </cell>
          <cell r="F53">
            <v>0.57099999999999995</v>
          </cell>
          <cell r="G53">
            <v>189</v>
          </cell>
          <cell r="H53">
            <v>195277</v>
          </cell>
          <cell r="I53">
            <v>112569</v>
          </cell>
          <cell r="J53">
            <v>125223</v>
          </cell>
          <cell r="M53">
            <v>90879</v>
          </cell>
          <cell r="N53">
            <v>67876</v>
          </cell>
          <cell r="S53">
            <v>78183</v>
          </cell>
          <cell r="T53">
            <v>60194</v>
          </cell>
          <cell r="U53">
            <v>101190</v>
          </cell>
          <cell r="V53">
            <v>112569</v>
          </cell>
          <cell r="X53">
            <v>337707</v>
          </cell>
          <cell r="Z53">
            <v>225138</v>
          </cell>
          <cell r="AA53">
            <v>112569</v>
          </cell>
          <cell r="AB53">
            <v>225138</v>
          </cell>
          <cell r="AC53">
            <v>187440</v>
          </cell>
          <cell r="AD53">
            <v>74976</v>
          </cell>
          <cell r="AE53">
            <v>1350828</v>
          </cell>
          <cell r="AG53">
            <v>112569</v>
          </cell>
          <cell r="AH53">
            <v>112569</v>
          </cell>
          <cell r="AI53">
            <v>562845</v>
          </cell>
          <cell r="AN53">
            <v>15760</v>
          </cell>
          <cell r="AR53">
            <v>13600</v>
          </cell>
          <cell r="AS53">
            <v>3400</v>
          </cell>
          <cell r="AT53">
            <v>10200</v>
          </cell>
          <cell r="AW53">
            <v>51000</v>
          </cell>
          <cell r="AX53">
            <v>150086.86000000002</v>
          </cell>
          <cell r="AZ53">
            <v>0</v>
          </cell>
          <cell r="BU53">
            <v>111844</v>
          </cell>
          <cell r="BY53">
            <v>3776</v>
          </cell>
          <cell r="BZ53">
            <v>1903</v>
          </cell>
          <cell r="CA53">
            <v>1655</v>
          </cell>
          <cell r="CB53">
            <v>1655</v>
          </cell>
          <cell r="CC53">
            <v>1903</v>
          </cell>
          <cell r="CD53">
            <v>6620</v>
          </cell>
          <cell r="CM53">
            <v>33100</v>
          </cell>
          <cell r="CN53">
            <v>68604</v>
          </cell>
          <cell r="CO53">
            <v>5233</v>
          </cell>
          <cell r="CV53">
            <v>13859</v>
          </cell>
          <cell r="CY53">
            <v>24375</v>
          </cell>
          <cell r="DB53">
            <v>112569</v>
          </cell>
          <cell r="DC53">
            <v>112569</v>
          </cell>
          <cell r="DD53">
            <v>4989450.8600000003</v>
          </cell>
          <cell r="DE53">
            <v>-402.1651891162619</v>
          </cell>
          <cell r="DF53">
            <v>4989048.6948108841</v>
          </cell>
          <cell r="DG53">
            <v>109208.97</v>
          </cell>
          <cell r="DH53">
            <v>224569</v>
          </cell>
          <cell r="DI53">
            <v>4989048.6948108841</v>
          </cell>
          <cell r="DJ53">
            <v>5322826.6648108838</v>
          </cell>
          <cell r="DK53">
            <v>3338862</v>
          </cell>
          <cell r="DL53">
            <v>478457.58999999997</v>
          </cell>
          <cell r="DM53">
            <v>27200</v>
          </cell>
          <cell r="DN53">
            <v>28151</v>
          </cell>
          <cell r="DO53">
            <v>423106.58999999997</v>
          </cell>
          <cell r="DP53">
            <v>0.88431367553391726</v>
          </cell>
          <cell r="DQ53">
            <v>3281750.41</v>
          </cell>
          <cell r="DR53">
            <v>787983</v>
          </cell>
          <cell r="DS53">
            <v>15760</v>
          </cell>
          <cell r="DT53">
            <v>201086.86000000002</v>
          </cell>
          <cell r="DU53">
            <v>0</v>
          </cell>
          <cell r="DV53">
            <v>0</v>
          </cell>
          <cell r="DW53">
            <v>0</v>
          </cell>
          <cell r="DX53">
            <v>111844</v>
          </cell>
          <cell r="DY53">
            <v>112166.83481088374</v>
          </cell>
          <cell r="DZ53">
            <v>333777.96999999997</v>
          </cell>
          <cell r="EA53">
            <v>423106.58999999997</v>
          </cell>
          <cell r="EB53">
            <v>0.88431367553391726</v>
          </cell>
          <cell r="EC53">
            <v>27200</v>
          </cell>
          <cell r="ED53">
            <v>28151</v>
          </cell>
          <cell r="EE53">
            <v>478457.58999999997</v>
          </cell>
          <cell r="EF53">
            <v>5322827.5491245594</v>
          </cell>
          <cell r="EH53">
            <v>3393917.2448108839</v>
          </cell>
          <cell r="EI53">
            <v>10253.526419368229</v>
          </cell>
          <cell r="EJ53">
            <v>9573.3511927821273</v>
          </cell>
          <cell r="EK53">
            <v>4989048.6948108841</v>
          </cell>
          <cell r="EL53">
            <v>4789134</v>
          </cell>
          <cell r="EM53">
            <v>199914.69481088407</v>
          </cell>
          <cell r="EN53">
            <v>4.1743391354446144E-2</v>
          </cell>
          <cell r="EO53">
            <v>199914.69481088407</v>
          </cell>
          <cell r="EP53">
            <v>533692.66481088381</v>
          </cell>
          <cell r="EQ53">
            <v>4787961.8348108837</v>
          </cell>
          <cell r="ER53">
            <v>3727695.2148108836</v>
          </cell>
          <cell r="ES53">
            <v>11261.9190779785</v>
          </cell>
          <cell r="ET53">
            <v>750285</v>
          </cell>
          <cell r="EU53">
            <v>79</v>
          </cell>
          <cell r="EV53">
            <v>10490.604146074937</v>
          </cell>
          <cell r="EW53">
            <v>252</v>
          </cell>
        </row>
        <row r="54">
          <cell r="A54">
            <v>302</v>
          </cell>
          <cell r="B54" t="str">
            <v>Raymond ES</v>
          </cell>
          <cell r="C54" t="str">
            <v>ES</v>
          </cell>
          <cell r="D54">
            <v>4</v>
          </cell>
          <cell r="E54">
            <v>473</v>
          </cell>
          <cell r="F54">
            <v>0.53900000000000003</v>
          </cell>
          <cell r="G54">
            <v>255</v>
          </cell>
          <cell r="H54">
            <v>195277</v>
          </cell>
          <cell r="I54">
            <v>112569</v>
          </cell>
          <cell r="J54">
            <v>187835</v>
          </cell>
          <cell r="M54">
            <v>90879</v>
          </cell>
          <cell r="N54">
            <v>67876</v>
          </cell>
          <cell r="O54">
            <v>60767</v>
          </cell>
          <cell r="S54">
            <v>78183</v>
          </cell>
          <cell r="T54">
            <v>60194</v>
          </cell>
          <cell r="U54">
            <v>101190</v>
          </cell>
          <cell r="V54">
            <v>112569</v>
          </cell>
          <cell r="X54">
            <v>506561</v>
          </cell>
          <cell r="Y54">
            <v>56284</v>
          </cell>
          <cell r="Z54">
            <v>337707</v>
          </cell>
          <cell r="AB54">
            <v>337707</v>
          </cell>
          <cell r="AC54">
            <v>224928</v>
          </cell>
          <cell r="AD54">
            <v>112464</v>
          </cell>
          <cell r="AE54">
            <v>2251380</v>
          </cell>
          <cell r="AG54">
            <v>112569</v>
          </cell>
          <cell r="AH54">
            <v>225138</v>
          </cell>
          <cell r="AI54">
            <v>900552</v>
          </cell>
          <cell r="AJ54">
            <v>224928</v>
          </cell>
          <cell r="AM54">
            <v>1350828</v>
          </cell>
          <cell r="AP54">
            <v>225138</v>
          </cell>
          <cell r="AR54">
            <v>20400</v>
          </cell>
          <cell r="AS54">
            <v>10200</v>
          </cell>
          <cell r="AT54">
            <v>10200</v>
          </cell>
          <cell r="AW54">
            <v>64600</v>
          </cell>
          <cell r="AX54">
            <v>150697.28</v>
          </cell>
          <cell r="AZ54">
            <v>0</v>
          </cell>
          <cell r="BU54">
            <v>111844</v>
          </cell>
          <cell r="BY54">
            <v>5106</v>
          </cell>
          <cell r="BZ54">
            <v>2720</v>
          </cell>
          <cell r="CA54">
            <v>2365</v>
          </cell>
          <cell r="CB54">
            <v>2365</v>
          </cell>
          <cell r="CC54">
            <v>2720</v>
          </cell>
          <cell r="CD54">
            <v>9460</v>
          </cell>
          <cell r="CM54">
            <v>47300</v>
          </cell>
          <cell r="CN54">
            <v>127730</v>
          </cell>
          <cell r="CO54">
            <v>5138</v>
          </cell>
          <cell r="CY54">
            <v>26950</v>
          </cell>
          <cell r="DC54">
            <v>0</v>
          </cell>
          <cell r="DD54">
            <v>8533318.2800000012</v>
          </cell>
          <cell r="DE54">
            <v>13.296669999137521</v>
          </cell>
          <cell r="DF54">
            <v>8533331.5766700003</v>
          </cell>
          <cell r="DG54">
            <v>258729.92</v>
          </cell>
          <cell r="DH54">
            <v>187557</v>
          </cell>
          <cell r="DI54">
            <v>8533331.5766700003</v>
          </cell>
          <cell r="DJ54">
            <v>8979618.4966700003</v>
          </cell>
          <cell r="DK54">
            <v>4798317</v>
          </cell>
          <cell r="DL54">
            <v>645537.86</v>
          </cell>
          <cell r="DM54">
            <v>40800</v>
          </cell>
          <cell r="DN54">
            <v>88340</v>
          </cell>
          <cell r="DO54">
            <v>516397.86</v>
          </cell>
          <cell r="DP54">
            <v>0.79994976592077804</v>
          </cell>
          <cell r="DQ54">
            <v>4521486.1399999997</v>
          </cell>
          <cell r="DR54">
            <v>1463187</v>
          </cell>
          <cell r="DS54">
            <v>1575966</v>
          </cell>
          <cell r="DT54">
            <v>215297.28</v>
          </cell>
          <cell r="DU54">
            <v>0</v>
          </cell>
          <cell r="DV54">
            <v>0</v>
          </cell>
          <cell r="DW54">
            <v>0</v>
          </cell>
          <cell r="DX54">
            <v>111844</v>
          </cell>
          <cell r="DY54">
            <v>13.296669999137521</v>
          </cell>
          <cell r="DZ54">
            <v>446286.92000000004</v>
          </cell>
          <cell r="EA54">
            <v>516397.86</v>
          </cell>
          <cell r="EB54">
            <v>0.79994976592077804</v>
          </cell>
          <cell r="EC54">
            <v>40800</v>
          </cell>
          <cell r="ED54">
            <v>88340</v>
          </cell>
          <cell r="EE54">
            <v>645537.86</v>
          </cell>
          <cell r="EF54">
            <v>8979619.2966197636</v>
          </cell>
          <cell r="EH54">
            <v>4521499.4366699988</v>
          </cell>
          <cell r="EI54">
            <v>9559.1954263636344</v>
          </cell>
          <cell r="EJ54">
            <v>9559.1954263636344</v>
          </cell>
          <cell r="EK54">
            <v>8533331.5766700003</v>
          </cell>
          <cell r="EL54">
            <v>8218678</v>
          </cell>
          <cell r="EM54">
            <v>314653.57667000033</v>
          </cell>
          <cell r="EN54">
            <v>3.8285181226226449E-2</v>
          </cell>
          <cell r="EO54">
            <v>314653.57667000033</v>
          </cell>
          <cell r="EP54">
            <v>760940.49667000026</v>
          </cell>
          <cell r="EQ54">
            <v>8318034.2966700001</v>
          </cell>
          <cell r="ER54">
            <v>4967786.3566699987</v>
          </cell>
          <cell r="ES54">
            <v>10502.719570126847</v>
          </cell>
          <cell r="ET54">
            <v>900342</v>
          </cell>
          <cell r="EU54">
            <v>102</v>
          </cell>
          <cell r="EV54">
            <v>9760.532174312666</v>
          </cell>
          <cell r="EW54">
            <v>371</v>
          </cell>
        </row>
        <row r="55">
          <cell r="A55">
            <v>305</v>
          </cell>
          <cell r="B55" t="str">
            <v>Ross ES</v>
          </cell>
          <cell r="C55" t="str">
            <v>ES</v>
          </cell>
          <cell r="D55">
            <v>2</v>
          </cell>
          <cell r="E55">
            <v>181</v>
          </cell>
          <cell r="F55">
            <v>2.1999999999999999E-2</v>
          </cell>
          <cell r="G55">
            <v>4</v>
          </cell>
          <cell r="H55">
            <v>195277</v>
          </cell>
          <cell r="I55">
            <v>112569</v>
          </cell>
          <cell r="M55">
            <v>45440</v>
          </cell>
          <cell r="N55">
            <v>67876</v>
          </cell>
          <cell r="S55">
            <v>78183</v>
          </cell>
          <cell r="T55">
            <v>60194</v>
          </cell>
          <cell r="U55">
            <v>50595</v>
          </cell>
          <cell r="V55">
            <v>56285</v>
          </cell>
          <cell r="W55">
            <v>56284.54</v>
          </cell>
          <cell r="X55">
            <v>337707</v>
          </cell>
          <cell r="Y55">
            <v>112569</v>
          </cell>
          <cell r="AB55">
            <v>112569</v>
          </cell>
          <cell r="AC55">
            <v>37488</v>
          </cell>
          <cell r="AD55">
            <v>74976</v>
          </cell>
          <cell r="AE55">
            <v>1013121</v>
          </cell>
          <cell r="AG55">
            <v>112569</v>
          </cell>
          <cell r="AH55">
            <v>112569</v>
          </cell>
          <cell r="AI55">
            <v>225138</v>
          </cell>
          <cell r="AM55">
            <v>225138</v>
          </cell>
          <cell r="AW55">
            <v>0</v>
          </cell>
          <cell r="AX55">
            <v>4525</v>
          </cell>
          <cell r="AZ55">
            <v>0</v>
          </cell>
          <cell r="BU55">
            <v>55922</v>
          </cell>
          <cell r="BZ55">
            <v>1041</v>
          </cell>
          <cell r="CA55">
            <v>905</v>
          </cell>
          <cell r="CB55">
            <v>905</v>
          </cell>
          <cell r="CC55">
            <v>1041</v>
          </cell>
          <cell r="CD55">
            <v>3620</v>
          </cell>
          <cell r="CM55">
            <v>18100</v>
          </cell>
          <cell r="CN55">
            <v>48787</v>
          </cell>
          <cell r="CO55">
            <v>3608</v>
          </cell>
          <cell r="CY55">
            <v>525</v>
          </cell>
          <cell r="DC55">
            <v>56285</v>
          </cell>
          <cell r="DD55">
            <v>3281811.54</v>
          </cell>
          <cell r="DE55">
            <v>-56280.986666999757</v>
          </cell>
          <cell r="DF55">
            <v>3225530.5533330003</v>
          </cell>
          <cell r="DG55">
            <v>23877</v>
          </cell>
          <cell r="DH55">
            <v>56284.5</v>
          </cell>
          <cell r="DI55">
            <v>3225530.5533330003</v>
          </cell>
          <cell r="DJ55">
            <v>3305692.0533330003</v>
          </cell>
          <cell r="DK55">
            <v>2187599.54</v>
          </cell>
          <cell r="DL55">
            <v>10126</v>
          </cell>
          <cell r="DM55">
            <v>0</v>
          </cell>
          <cell r="DN55">
            <v>113094</v>
          </cell>
          <cell r="DO55">
            <v>-102968</v>
          </cell>
          <cell r="DP55">
            <v>-10.168674698795181</v>
          </cell>
          <cell r="DQ55">
            <v>2479539.54</v>
          </cell>
          <cell r="DR55">
            <v>450276</v>
          </cell>
          <cell r="DS55">
            <v>225138</v>
          </cell>
          <cell r="DT55">
            <v>4525</v>
          </cell>
          <cell r="DU55">
            <v>0</v>
          </cell>
          <cell r="DV55">
            <v>0</v>
          </cell>
          <cell r="DW55">
            <v>0</v>
          </cell>
          <cell r="DX55">
            <v>55922</v>
          </cell>
          <cell r="DY55">
            <v>4.0133330002427101</v>
          </cell>
          <cell r="DZ55">
            <v>80161.5</v>
          </cell>
          <cell r="EA55">
            <v>-102968</v>
          </cell>
          <cell r="EB55">
            <v>-10.168674698795181</v>
          </cell>
          <cell r="EC55">
            <v>0</v>
          </cell>
          <cell r="ED55">
            <v>113094</v>
          </cell>
          <cell r="EE55">
            <v>10126</v>
          </cell>
          <cell r="EF55">
            <v>3305681.8846583017</v>
          </cell>
          <cell r="EH55">
            <v>2479543.5533330003</v>
          </cell>
          <cell r="EI55">
            <v>13699.135653773483</v>
          </cell>
          <cell r="EJ55">
            <v>13388.168802944752</v>
          </cell>
          <cell r="EK55">
            <v>3225530.5533330003</v>
          </cell>
          <cell r="EL55">
            <v>3050067</v>
          </cell>
          <cell r="EM55">
            <v>175463.55333300028</v>
          </cell>
          <cell r="EN55">
            <v>5.7527770154885215E-2</v>
          </cell>
          <cell r="EO55">
            <v>175463.55333300028</v>
          </cell>
          <cell r="EP55">
            <v>255625.05333300028</v>
          </cell>
          <cell r="EQ55">
            <v>3221005.5533330003</v>
          </cell>
          <cell r="ER55">
            <v>2559705.0533330003</v>
          </cell>
          <cell r="ES55">
            <v>14142.016869243096</v>
          </cell>
          <cell r="ET55">
            <v>150057</v>
          </cell>
          <cell r="EU55">
            <v>19</v>
          </cell>
          <cell r="EV55">
            <v>14379.546625512347</v>
          </cell>
          <cell r="EW55">
            <v>162</v>
          </cell>
        </row>
        <row r="56">
          <cell r="A56">
            <v>307</v>
          </cell>
          <cell r="B56" t="str">
            <v>Savoy ES</v>
          </cell>
          <cell r="C56" t="str">
            <v>ES</v>
          </cell>
          <cell r="D56">
            <v>8</v>
          </cell>
          <cell r="E56">
            <v>259</v>
          </cell>
          <cell r="F56">
            <v>0.81899999999999995</v>
          </cell>
          <cell r="G56">
            <v>212</v>
          </cell>
          <cell r="H56">
            <v>195277</v>
          </cell>
          <cell r="I56">
            <v>112569</v>
          </cell>
          <cell r="M56">
            <v>45440</v>
          </cell>
          <cell r="N56">
            <v>67876</v>
          </cell>
          <cell r="S56">
            <v>78183</v>
          </cell>
          <cell r="T56">
            <v>60194</v>
          </cell>
          <cell r="U56">
            <v>50595</v>
          </cell>
          <cell r="V56">
            <v>56285</v>
          </cell>
          <cell r="W56">
            <v>112569.07</v>
          </cell>
          <cell r="X56">
            <v>337707</v>
          </cell>
          <cell r="Z56">
            <v>225138</v>
          </cell>
          <cell r="AB56">
            <v>225138</v>
          </cell>
          <cell r="AC56">
            <v>149952</v>
          </cell>
          <cell r="AD56">
            <v>74976</v>
          </cell>
          <cell r="AE56">
            <v>1125690</v>
          </cell>
          <cell r="AG56">
            <v>112569</v>
          </cell>
          <cell r="AH56">
            <v>112569</v>
          </cell>
          <cell r="AI56">
            <v>787983</v>
          </cell>
          <cell r="AJ56">
            <v>187440</v>
          </cell>
          <cell r="AN56">
            <v>5628</v>
          </cell>
          <cell r="AR56">
            <v>1700</v>
          </cell>
          <cell r="AS56">
            <v>1700</v>
          </cell>
          <cell r="AT56">
            <v>10200</v>
          </cell>
          <cell r="AW56">
            <v>37400</v>
          </cell>
          <cell r="AX56">
            <v>117439.90000000001</v>
          </cell>
          <cell r="AZ56">
            <v>0</v>
          </cell>
          <cell r="BU56">
            <v>111844</v>
          </cell>
          <cell r="BY56">
            <v>8521</v>
          </cell>
          <cell r="BZ56">
            <v>1489</v>
          </cell>
          <cell r="CA56">
            <v>1295</v>
          </cell>
          <cell r="CB56">
            <v>1295</v>
          </cell>
          <cell r="CC56">
            <v>1489</v>
          </cell>
          <cell r="CD56">
            <v>5180</v>
          </cell>
          <cell r="CM56">
            <v>25900</v>
          </cell>
          <cell r="CN56">
            <v>64572</v>
          </cell>
          <cell r="CO56">
            <v>4408</v>
          </cell>
          <cell r="CY56">
            <v>22425</v>
          </cell>
          <cell r="DA56">
            <v>44687</v>
          </cell>
          <cell r="DB56">
            <v>112569</v>
          </cell>
          <cell r="DC56">
            <v>112569</v>
          </cell>
          <cell r="DD56">
            <v>4810460.9700000007</v>
          </cell>
          <cell r="DE56">
            <v>-113074.61399389617</v>
          </cell>
          <cell r="DF56">
            <v>4697386.3560061045</v>
          </cell>
          <cell r="DG56">
            <v>227630.76</v>
          </cell>
          <cell r="DH56">
            <v>492282</v>
          </cell>
          <cell r="DI56">
            <v>4697386.3560061045</v>
          </cell>
          <cell r="DJ56">
            <v>5417299.1160061043</v>
          </cell>
          <cell r="DK56">
            <v>2834245.0700000003</v>
          </cell>
          <cell r="DL56">
            <v>536681.51</v>
          </cell>
          <cell r="DM56">
            <v>13600</v>
          </cell>
          <cell r="DN56">
            <v>30946</v>
          </cell>
          <cell r="DO56">
            <v>492135.51</v>
          </cell>
          <cell r="DP56">
            <v>0.91699732677580037</v>
          </cell>
          <cell r="DQ56">
            <v>2643650.5600000005</v>
          </cell>
          <cell r="DR56">
            <v>1200561</v>
          </cell>
          <cell r="DS56">
            <v>5628</v>
          </cell>
          <cell r="DT56">
            <v>154839.90000000002</v>
          </cell>
          <cell r="DU56">
            <v>0</v>
          </cell>
          <cell r="DV56">
            <v>0</v>
          </cell>
          <cell r="DW56">
            <v>44687</v>
          </cell>
          <cell r="DX56">
            <v>111844</v>
          </cell>
          <cell r="DY56">
            <v>-505.61399389617145</v>
          </cell>
          <cell r="DZ56">
            <v>719912.76</v>
          </cell>
          <cell r="EA56">
            <v>492135.51</v>
          </cell>
          <cell r="EB56">
            <v>0.91699732677580037</v>
          </cell>
          <cell r="EC56">
            <v>13600</v>
          </cell>
          <cell r="ED56">
            <v>30946</v>
          </cell>
          <cell r="EE56">
            <v>536681.51</v>
          </cell>
          <cell r="EF56">
            <v>5417300.0330034308</v>
          </cell>
          <cell r="EH56">
            <v>2687831.9460061044</v>
          </cell>
          <cell r="EI56">
            <v>10377.729521259091</v>
          </cell>
          <cell r="EJ56">
            <v>9335.9341544637227</v>
          </cell>
          <cell r="EK56">
            <v>4652699.3560061045</v>
          </cell>
          <cell r="EL56">
            <v>4636940</v>
          </cell>
          <cell r="EM56">
            <v>15759.356006104499</v>
          </cell>
          <cell r="EN56">
            <v>3.3986542862544048E-3</v>
          </cell>
          <cell r="EO56">
            <v>60446.356006104499</v>
          </cell>
          <cell r="EP56">
            <v>780359.11600610428</v>
          </cell>
          <cell r="EQ56">
            <v>4542546.4560061041</v>
          </cell>
          <cell r="ER56">
            <v>3407744.7060061041</v>
          </cell>
          <cell r="ES56">
            <v>13157.315467205035</v>
          </cell>
          <cell r="ET56">
            <v>600228</v>
          </cell>
          <cell r="EU56">
            <v>57</v>
          </cell>
          <cell r="EV56">
            <v>10334.67300003022</v>
          </cell>
          <cell r="EW56">
            <v>202</v>
          </cell>
        </row>
        <row r="57">
          <cell r="A57">
            <v>943</v>
          </cell>
          <cell r="B57" t="str">
            <v>School-Within-School @ Goding</v>
          </cell>
          <cell r="C57" t="str">
            <v>ES</v>
          </cell>
          <cell r="D57">
            <v>6</v>
          </cell>
          <cell r="E57">
            <v>311</v>
          </cell>
          <cell r="F57">
            <v>0.09</v>
          </cell>
          <cell r="G57">
            <v>28</v>
          </cell>
          <cell r="H57">
            <v>195277</v>
          </cell>
          <cell r="I57">
            <v>112569</v>
          </cell>
          <cell r="J57">
            <v>125223</v>
          </cell>
          <cell r="M57">
            <v>90879</v>
          </cell>
          <cell r="N57">
            <v>67876</v>
          </cell>
          <cell r="S57">
            <v>78183</v>
          </cell>
          <cell r="T57">
            <v>60194</v>
          </cell>
          <cell r="U57">
            <v>101190</v>
          </cell>
          <cell r="V57">
            <v>112569</v>
          </cell>
          <cell r="X57">
            <v>337707</v>
          </cell>
          <cell r="Z57">
            <v>225138</v>
          </cell>
          <cell r="AB57">
            <v>225138</v>
          </cell>
          <cell r="AC57">
            <v>149952</v>
          </cell>
          <cell r="AD57">
            <v>74976</v>
          </cell>
          <cell r="AE57">
            <v>1238259</v>
          </cell>
          <cell r="AG57">
            <v>112569</v>
          </cell>
          <cell r="AH57">
            <v>112569</v>
          </cell>
          <cell r="AI57">
            <v>1125690</v>
          </cell>
          <cell r="AJ57">
            <v>449856</v>
          </cell>
          <cell r="AN57">
            <v>36022</v>
          </cell>
          <cell r="AW57">
            <v>0</v>
          </cell>
          <cell r="AX57">
            <v>0</v>
          </cell>
          <cell r="AY57">
            <v>7775</v>
          </cell>
          <cell r="AZ57">
            <v>0</v>
          </cell>
          <cell r="BU57">
            <v>111844</v>
          </cell>
          <cell r="BZ57">
            <v>1788</v>
          </cell>
          <cell r="CA57">
            <v>1555</v>
          </cell>
          <cell r="CB57">
            <v>1555</v>
          </cell>
          <cell r="CC57">
            <v>1788</v>
          </cell>
          <cell r="CD57">
            <v>6220</v>
          </cell>
          <cell r="CM57">
            <v>31100</v>
          </cell>
          <cell r="CN57">
            <v>81009</v>
          </cell>
          <cell r="CO57">
            <v>4529</v>
          </cell>
          <cell r="CY57">
            <v>1750</v>
          </cell>
          <cell r="DC57">
            <v>146285</v>
          </cell>
          <cell r="DD57">
            <v>5429034</v>
          </cell>
          <cell r="DE57">
            <v>-194.92092955764383</v>
          </cell>
          <cell r="DF57">
            <v>5428839.0790704424</v>
          </cell>
          <cell r="DG57">
            <v>40287.71</v>
          </cell>
          <cell r="DH57">
            <v>22569</v>
          </cell>
          <cell r="DI57">
            <v>5428839.0790704424</v>
          </cell>
          <cell r="DJ57">
            <v>5491695.7890704423</v>
          </cell>
          <cell r="DK57">
            <v>3085107</v>
          </cell>
          <cell r="DL57">
            <v>70883</v>
          </cell>
          <cell r="DM57">
            <v>0</v>
          </cell>
          <cell r="DN57">
            <v>1750</v>
          </cell>
          <cell r="DO57">
            <v>69133</v>
          </cell>
          <cell r="DP57">
            <v>0.97531142869235221</v>
          </cell>
          <cell r="DQ57">
            <v>3255541</v>
          </cell>
          <cell r="DR57">
            <v>1800684</v>
          </cell>
          <cell r="DS57">
            <v>36022</v>
          </cell>
          <cell r="DT57">
            <v>7775</v>
          </cell>
          <cell r="DU57">
            <v>0</v>
          </cell>
          <cell r="DV57">
            <v>0</v>
          </cell>
          <cell r="DW57">
            <v>0</v>
          </cell>
          <cell r="DX57">
            <v>111844</v>
          </cell>
          <cell r="DY57">
            <v>146090.07907044236</v>
          </cell>
          <cell r="DZ57">
            <v>62856.71</v>
          </cell>
          <cell r="EA57">
            <v>69133</v>
          </cell>
          <cell r="EB57">
            <v>0.97531142869235221</v>
          </cell>
          <cell r="EC57">
            <v>0</v>
          </cell>
          <cell r="ED57">
            <v>1750</v>
          </cell>
          <cell r="EE57">
            <v>70883</v>
          </cell>
          <cell r="EF57">
            <v>5491696.7643818706</v>
          </cell>
          <cell r="EH57">
            <v>3401631.0790704424</v>
          </cell>
          <cell r="EI57">
            <v>10937.720511480522</v>
          </cell>
          <cell r="EJ57">
            <v>10467.350736560908</v>
          </cell>
          <cell r="EK57">
            <v>5428839.0790704424</v>
          </cell>
          <cell r="EL57">
            <v>5161919</v>
          </cell>
          <cell r="EM57">
            <v>266920.07907044236</v>
          </cell>
          <cell r="EN57">
            <v>5.1709466783659792E-2</v>
          </cell>
          <cell r="EO57">
            <v>266920.07907044236</v>
          </cell>
          <cell r="EP57">
            <v>329776.78907044232</v>
          </cell>
          <cell r="EQ57">
            <v>5421064.0790704424</v>
          </cell>
          <cell r="ER57">
            <v>3464487.7890704423</v>
          </cell>
          <cell r="ES57">
            <v>11139.832119197563</v>
          </cell>
          <cell r="ET57">
            <v>600228</v>
          </cell>
          <cell r="EU57">
            <v>72</v>
          </cell>
          <cell r="EV57">
            <v>11721.351795273817</v>
          </cell>
          <cell r="EW57">
            <v>239</v>
          </cell>
        </row>
        <row r="58">
          <cell r="A58">
            <v>309</v>
          </cell>
          <cell r="B58" t="str">
            <v>Seaton ES</v>
          </cell>
          <cell r="C58" t="str">
            <v>ES</v>
          </cell>
          <cell r="D58">
            <v>6</v>
          </cell>
          <cell r="E58">
            <v>364</v>
          </cell>
          <cell r="F58">
            <v>0.41199999999999998</v>
          </cell>
          <cell r="G58">
            <v>150</v>
          </cell>
          <cell r="H58">
            <v>195277</v>
          </cell>
          <cell r="I58">
            <v>112569</v>
          </cell>
          <cell r="J58">
            <v>140876</v>
          </cell>
          <cell r="M58">
            <v>90879</v>
          </cell>
          <cell r="N58">
            <v>67876</v>
          </cell>
          <cell r="S58">
            <v>78183</v>
          </cell>
          <cell r="T58">
            <v>60194</v>
          </cell>
          <cell r="U58">
            <v>101190</v>
          </cell>
          <cell r="V58">
            <v>112569</v>
          </cell>
          <cell r="X58">
            <v>337707</v>
          </cell>
          <cell r="Y58">
            <v>112569</v>
          </cell>
          <cell r="Z58">
            <v>337707</v>
          </cell>
          <cell r="AB58">
            <v>337707</v>
          </cell>
          <cell r="AC58">
            <v>224928</v>
          </cell>
          <cell r="AD58">
            <v>112464</v>
          </cell>
          <cell r="AE58">
            <v>1463397</v>
          </cell>
          <cell r="AG58">
            <v>112569</v>
          </cell>
          <cell r="AH58">
            <v>225138</v>
          </cell>
          <cell r="AI58">
            <v>787983</v>
          </cell>
          <cell r="AJ58">
            <v>299904</v>
          </cell>
          <cell r="AL58">
            <v>117087</v>
          </cell>
          <cell r="AM58">
            <v>787983</v>
          </cell>
          <cell r="AP58">
            <v>112569</v>
          </cell>
          <cell r="AR58">
            <v>20400</v>
          </cell>
          <cell r="AS58">
            <v>20400</v>
          </cell>
          <cell r="AW58">
            <v>40800</v>
          </cell>
          <cell r="AX58">
            <v>165049.5</v>
          </cell>
          <cell r="AZ58">
            <v>0</v>
          </cell>
          <cell r="BU58">
            <v>55922</v>
          </cell>
          <cell r="BY58">
            <v>2993</v>
          </cell>
          <cell r="BZ58">
            <v>2093</v>
          </cell>
          <cell r="CA58">
            <v>1820</v>
          </cell>
          <cell r="CB58">
            <v>1820</v>
          </cell>
          <cell r="CC58">
            <v>2093</v>
          </cell>
          <cell r="CD58">
            <v>7280</v>
          </cell>
          <cell r="CM58">
            <v>36400</v>
          </cell>
          <cell r="CN58">
            <v>101902</v>
          </cell>
          <cell r="CO58">
            <v>5108</v>
          </cell>
          <cell r="CY58">
            <v>10350</v>
          </cell>
          <cell r="DC58">
            <v>122769</v>
          </cell>
          <cell r="DD58">
            <v>6926524.5</v>
          </cell>
          <cell r="DE58">
            <v>12.973330000415444</v>
          </cell>
          <cell r="DF58">
            <v>6926537.4733300004</v>
          </cell>
          <cell r="DG58">
            <v>128741.58</v>
          </cell>
          <cell r="DH58">
            <v>112569</v>
          </cell>
          <cell r="DI58">
            <v>6926537.4733300004</v>
          </cell>
          <cell r="DJ58">
            <v>7167848.0533300005</v>
          </cell>
          <cell r="DK58">
            <v>3692472</v>
          </cell>
          <cell r="DL58">
            <v>379728</v>
          </cell>
          <cell r="DM58">
            <v>40800</v>
          </cell>
          <cell r="DN58">
            <v>125912</v>
          </cell>
          <cell r="DO58">
            <v>213016</v>
          </cell>
          <cell r="DP58">
            <v>0.56096995744322253</v>
          </cell>
          <cell r="DQ58">
            <v>3719023</v>
          </cell>
          <cell r="DR58">
            <v>1542681</v>
          </cell>
          <cell r="DS58">
            <v>900552</v>
          </cell>
          <cell r="DT58">
            <v>205849.5</v>
          </cell>
          <cell r="DU58">
            <v>0</v>
          </cell>
          <cell r="DV58">
            <v>0</v>
          </cell>
          <cell r="DW58">
            <v>0</v>
          </cell>
          <cell r="DX58">
            <v>55922</v>
          </cell>
          <cell r="DY58">
            <v>122781.97333000042</v>
          </cell>
          <cell r="DZ58">
            <v>241310.58000000002</v>
          </cell>
          <cell r="EA58">
            <v>213016</v>
          </cell>
          <cell r="EB58">
            <v>0.56096995744322253</v>
          </cell>
          <cell r="EC58">
            <v>40800</v>
          </cell>
          <cell r="ED58">
            <v>125912</v>
          </cell>
          <cell r="EE58">
            <v>379728</v>
          </cell>
          <cell r="EF58">
            <v>7167848.6142999576</v>
          </cell>
          <cell r="EH58">
            <v>3841804.9733300004</v>
          </cell>
          <cell r="EI58">
            <v>10554.40926739011</v>
          </cell>
          <cell r="EJ58">
            <v>10217.131794862638</v>
          </cell>
          <cell r="EK58">
            <v>6926537.4733300004</v>
          </cell>
          <cell r="EL58">
            <v>6995451</v>
          </cell>
          <cell r="EM58">
            <v>-68913.526669999585</v>
          </cell>
          <cell r="EN58">
            <v>-9.8511913913769938E-3</v>
          </cell>
          <cell r="EO58">
            <v>-68913.526669999585</v>
          </cell>
          <cell r="EP58">
            <v>172397.05333000049</v>
          </cell>
          <cell r="EQ58">
            <v>6720687.9733300004</v>
          </cell>
          <cell r="ER58">
            <v>4083115.5533300005</v>
          </cell>
          <cell r="ES58">
            <v>11217.350421236266</v>
          </cell>
          <cell r="ET58">
            <v>900342</v>
          </cell>
          <cell r="EU58">
            <v>95</v>
          </cell>
          <cell r="EV58">
            <v>10934.806592304834</v>
          </cell>
          <cell r="EW58">
            <v>269</v>
          </cell>
        </row>
        <row r="59">
          <cell r="A59">
            <v>313</v>
          </cell>
          <cell r="B59" t="str">
            <v>Shepherd ES</v>
          </cell>
          <cell r="C59" t="str">
            <v>ES</v>
          </cell>
          <cell r="D59">
            <v>4</v>
          </cell>
          <cell r="E59">
            <v>366</v>
          </cell>
          <cell r="F59">
            <v>0.123</v>
          </cell>
          <cell r="G59">
            <v>45</v>
          </cell>
          <cell r="H59">
            <v>195277</v>
          </cell>
          <cell r="I59">
            <v>112569</v>
          </cell>
          <cell r="J59">
            <v>140876</v>
          </cell>
          <cell r="M59">
            <v>90879</v>
          </cell>
          <cell r="N59">
            <v>67876</v>
          </cell>
          <cell r="S59">
            <v>78183</v>
          </cell>
          <cell r="T59">
            <v>60194</v>
          </cell>
          <cell r="U59">
            <v>101190</v>
          </cell>
          <cell r="V59">
            <v>112569</v>
          </cell>
          <cell r="X59">
            <v>337707</v>
          </cell>
          <cell r="Y59">
            <v>112569</v>
          </cell>
          <cell r="Z59">
            <v>225138</v>
          </cell>
          <cell r="AB59">
            <v>225138</v>
          </cell>
          <cell r="AC59">
            <v>149952</v>
          </cell>
          <cell r="AD59">
            <v>74976</v>
          </cell>
          <cell r="AE59">
            <v>1463397</v>
          </cell>
          <cell r="AG59">
            <v>112569</v>
          </cell>
          <cell r="AH59">
            <v>112569</v>
          </cell>
          <cell r="AI59">
            <v>337707</v>
          </cell>
          <cell r="AJ59">
            <v>74976</v>
          </cell>
          <cell r="AM59">
            <v>112569</v>
          </cell>
          <cell r="AW59">
            <v>0</v>
          </cell>
          <cell r="AX59">
            <v>0</v>
          </cell>
          <cell r="AY59">
            <v>9150</v>
          </cell>
          <cell r="AZ59">
            <v>0</v>
          </cell>
          <cell r="BA59">
            <v>117087</v>
          </cell>
          <cell r="BU59">
            <v>55922</v>
          </cell>
          <cell r="BZ59">
            <v>2105</v>
          </cell>
          <cell r="CA59">
            <v>1830</v>
          </cell>
          <cell r="CB59">
            <v>1830</v>
          </cell>
          <cell r="CC59">
            <v>2105</v>
          </cell>
          <cell r="CD59">
            <v>7320</v>
          </cell>
          <cell r="CM59">
            <v>36600</v>
          </cell>
          <cell r="CN59">
            <v>71097</v>
          </cell>
          <cell r="CO59">
            <v>6102</v>
          </cell>
          <cell r="CW59">
            <v>20207</v>
          </cell>
          <cell r="CY59">
            <v>4900</v>
          </cell>
          <cell r="DA59">
            <v>4300</v>
          </cell>
          <cell r="DC59">
            <v>112569</v>
          </cell>
          <cell r="DD59">
            <v>4752004</v>
          </cell>
          <cell r="DE59">
            <v>6.7999999998137355</v>
          </cell>
          <cell r="DF59">
            <v>4752010.8</v>
          </cell>
          <cell r="DG59">
            <v>39110.400000000001</v>
          </cell>
          <cell r="DH59">
            <v>76024</v>
          </cell>
          <cell r="DI59">
            <v>4752010.8</v>
          </cell>
          <cell r="DJ59">
            <v>4867145.2</v>
          </cell>
          <cell r="DK59">
            <v>3325343</v>
          </cell>
          <cell r="DL59">
            <v>113918.54000000001</v>
          </cell>
          <cell r="DM59">
            <v>0</v>
          </cell>
          <cell r="DN59">
            <v>117469</v>
          </cell>
          <cell r="DO59">
            <v>-3550.4599999999919</v>
          </cell>
          <cell r="DP59">
            <v>-3.1166656454691147E-2</v>
          </cell>
          <cell r="DQ59">
            <v>3705754.46</v>
          </cell>
          <cell r="DR59">
            <v>637821</v>
          </cell>
          <cell r="DS59">
            <v>112569</v>
          </cell>
          <cell r="DT59">
            <v>9150</v>
          </cell>
          <cell r="DU59">
            <v>0</v>
          </cell>
          <cell r="DV59">
            <v>0</v>
          </cell>
          <cell r="DW59">
            <v>4300</v>
          </cell>
          <cell r="DX59">
            <v>55922</v>
          </cell>
          <cell r="DY59">
            <v>112575.79999999981</v>
          </cell>
          <cell r="DZ59">
            <v>115134.39999999999</v>
          </cell>
          <cell r="EA59">
            <v>-3550.4599999999919</v>
          </cell>
          <cell r="EB59">
            <v>-3.1166656454691147E-2</v>
          </cell>
          <cell r="EC59">
            <v>0</v>
          </cell>
          <cell r="ED59">
            <v>117469</v>
          </cell>
          <cell r="EE59">
            <v>113918.54000000001</v>
          </cell>
          <cell r="EF59">
            <v>4867145.1688333433</v>
          </cell>
          <cell r="EH59">
            <v>3822630.26</v>
          </cell>
          <cell r="EI59">
            <v>10444.344972677594</v>
          </cell>
          <cell r="EJ59">
            <v>10125.030765027323</v>
          </cell>
          <cell r="EK59">
            <v>4747710.8</v>
          </cell>
          <cell r="EL59">
            <v>4828035</v>
          </cell>
          <cell r="EM59">
            <v>-80324.200000000186</v>
          </cell>
          <cell r="EN59">
            <v>-1.6637037635394147E-2</v>
          </cell>
          <cell r="EO59">
            <v>-76024.200000000186</v>
          </cell>
          <cell r="EP59">
            <v>39110.200000000186</v>
          </cell>
          <cell r="EQ59">
            <v>4742860.7999999998</v>
          </cell>
          <cell r="ER59">
            <v>3937764.6599999997</v>
          </cell>
          <cell r="ES59">
            <v>10758.919836065574</v>
          </cell>
          <cell r="ET59">
            <v>600228</v>
          </cell>
          <cell r="EU59">
            <v>66</v>
          </cell>
          <cell r="EV59">
            <v>10741.340866666666</v>
          </cell>
          <cell r="EW59">
            <v>300</v>
          </cell>
        </row>
        <row r="60">
          <cell r="A60">
            <v>315</v>
          </cell>
          <cell r="B60" t="str">
            <v>Simon ES</v>
          </cell>
          <cell r="C60" t="str">
            <v>ES</v>
          </cell>
          <cell r="D60">
            <v>8</v>
          </cell>
          <cell r="E60">
            <v>236</v>
          </cell>
          <cell r="F60">
            <v>0.72499999999999998</v>
          </cell>
          <cell r="G60">
            <v>171</v>
          </cell>
          <cell r="H60">
            <v>195277</v>
          </cell>
          <cell r="I60">
            <v>112569</v>
          </cell>
          <cell r="M60">
            <v>45440</v>
          </cell>
          <cell r="N60">
            <v>67876</v>
          </cell>
          <cell r="S60">
            <v>78183</v>
          </cell>
          <cell r="T60">
            <v>60194</v>
          </cell>
          <cell r="U60">
            <v>50595</v>
          </cell>
          <cell r="V60">
            <v>56285</v>
          </cell>
          <cell r="W60">
            <v>56284.54</v>
          </cell>
          <cell r="X60">
            <v>337707</v>
          </cell>
          <cell r="Z60">
            <v>112569</v>
          </cell>
          <cell r="AA60">
            <v>112569</v>
          </cell>
          <cell r="AB60">
            <v>112569</v>
          </cell>
          <cell r="AC60">
            <v>112464</v>
          </cell>
          <cell r="AD60">
            <v>37488</v>
          </cell>
          <cell r="AE60">
            <v>1238259</v>
          </cell>
          <cell r="AG60">
            <v>112569</v>
          </cell>
          <cell r="AH60">
            <v>112569</v>
          </cell>
          <cell r="AI60">
            <v>562845</v>
          </cell>
          <cell r="AJ60">
            <v>149952</v>
          </cell>
          <cell r="AM60">
            <v>112569</v>
          </cell>
          <cell r="AW60">
            <v>0</v>
          </cell>
          <cell r="AX60">
            <v>107007.85999999999</v>
          </cell>
          <cell r="AZ60">
            <v>0</v>
          </cell>
          <cell r="BU60">
            <v>55922</v>
          </cell>
          <cell r="BX60">
            <v>75000</v>
          </cell>
          <cell r="BY60">
            <v>3440</v>
          </cell>
          <cell r="BZ60">
            <v>1357</v>
          </cell>
          <cell r="CA60">
            <v>1180</v>
          </cell>
          <cell r="CB60">
            <v>1180</v>
          </cell>
          <cell r="CC60">
            <v>1357</v>
          </cell>
          <cell r="CD60">
            <v>4720</v>
          </cell>
          <cell r="CM60">
            <v>23600</v>
          </cell>
          <cell r="CN60">
            <v>60867</v>
          </cell>
          <cell r="CO60">
            <v>4860</v>
          </cell>
          <cell r="CV60">
            <v>13859</v>
          </cell>
          <cell r="CY60">
            <v>19500</v>
          </cell>
          <cell r="DA60">
            <v>130766</v>
          </cell>
          <cell r="DB60">
            <v>112569</v>
          </cell>
          <cell r="DC60">
            <v>112569</v>
          </cell>
          <cell r="DD60">
            <v>4566586.4000000004</v>
          </cell>
          <cell r="DE60">
            <v>-56280.170000000857</v>
          </cell>
          <cell r="DF60">
            <v>4510306.2299999995</v>
          </cell>
          <cell r="DG60">
            <v>124987.78</v>
          </cell>
          <cell r="DH60">
            <v>379713</v>
          </cell>
          <cell r="DI60">
            <v>4510306.2299999995</v>
          </cell>
          <cell r="DJ60">
            <v>5015007.01</v>
          </cell>
          <cell r="DK60">
            <v>2696477.54</v>
          </cell>
          <cell r="DL60">
            <v>432889.57</v>
          </cell>
          <cell r="DM60">
            <v>0</v>
          </cell>
          <cell r="DN60">
            <v>22940</v>
          </cell>
          <cell r="DO60">
            <v>409949.57</v>
          </cell>
          <cell r="DP60">
            <v>0.94700727023753428</v>
          </cell>
          <cell r="DQ60">
            <v>2601927.9700000002</v>
          </cell>
          <cell r="DR60">
            <v>937935</v>
          </cell>
          <cell r="DS60">
            <v>112569</v>
          </cell>
          <cell r="DT60">
            <v>182007.86</v>
          </cell>
          <cell r="DU60">
            <v>0</v>
          </cell>
          <cell r="DV60">
            <v>0</v>
          </cell>
          <cell r="DW60">
            <v>130766</v>
          </cell>
          <cell r="DX60">
            <v>55922</v>
          </cell>
          <cell r="DY60">
            <v>56288.829999999143</v>
          </cell>
          <cell r="DZ60">
            <v>504700.78</v>
          </cell>
          <cell r="EA60">
            <v>409949.57</v>
          </cell>
          <cell r="EB60">
            <v>0.94700727023753428</v>
          </cell>
          <cell r="EC60">
            <v>0</v>
          </cell>
          <cell r="ED60">
            <v>22940</v>
          </cell>
          <cell r="EE60">
            <v>432889.57</v>
          </cell>
          <cell r="EF60">
            <v>5015007.9570072703</v>
          </cell>
          <cell r="EH60">
            <v>2788982.7999999993</v>
          </cell>
          <cell r="EI60">
            <v>11817.723728813557</v>
          </cell>
          <cell r="EJ60">
            <v>10309.655932203386</v>
          </cell>
          <cell r="EK60">
            <v>4379540.2299999995</v>
          </cell>
          <cell r="EL60">
            <v>4481272</v>
          </cell>
          <cell r="EM60">
            <v>-101731.77000000048</v>
          </cell>
          <cell r="EN60">
            <v>-2.2701538759530883E-2</v>
          </cell>
          <cell r="EO60">
            <v>29034.229999999516</v>
          </cell>
          <cell r="EP60">
            <v>533735.00999999978</v>
          </cell>
          <cell r="EQ60">
            <v>4328298.3699999992</v>
          </cell>
          <cell r="ER60">
            <v>3293683.5799999991</v>
          </cell>
          <cell r="ES60">
            <v>13956.2863559322</v>
          </cell>
          <cell r="ET60">
            <v>450171</v>
          </cell>
          <cell r="EU60">
            <v>45</v>
          </cell>
          <cell r="EV60">
            <v>12245.08795811518</v>
          </cell>
          <cell r="EW60">
            <v>191</v>
          </cell>
        </row>
        <row r="61">
          <cell r="A61">
            <v>322</v>
          </cell>
          <cell r="B61" t="str">
            <v>Smothers ES</v>
          </cell>
          <cell r="C61" t="str">
            <v>ES</v>
          </cell>
          <cell r="D61">
            <v>7</v>
          </cell>
          <cell r="E61">
            <v>234</v>
          </cell>
          <cell r="F61">
            <v>0.75600000000000001</v>
          </cell>
          <cell r="G61">
            <v>177</v>
          </cell>
          <cell r="H61">
            <v>195277</v>
          </cell>
          <cell r="I61">
            <v>112569</v>
          </cell>
          <cell r="M61">
            <v>45440</v>
          </cell>
          <cell r="N61">
            <v>67876</v>
          </cell>
          <cell r="S61">
            <v>78183</v>
          </cell>
          <cell r="T61">
            <v>60194</v>
          </cell>
          <cell r="U61">
            <v>50595</v>
          </cell>
          <cell r="V61">
            <v>56285</v>
          </cell>
          <cell r="W61">
            <v>112569.07</v>
          </cell>
          <cell r="X61">
            <v>337707</v>
          </cell>
          <cell r="Z61">
            <v>225138</v>
          </cell>
          <cell r="AB61">
            <v>225138</v>
          </cell>
          <cell r="AC61">
            <v>149952</v>
          </cell>
          <cell r="AD61">
            <v>74976</v>
          </cell>
          <cell r="AE61">
            <v>1125690</v>
          </cell>
          <cell r="AG61">
            <v>112569</v>
          </cell>
          <cell r="AH61">
            <v>112569</v>
          </cell>
          <cell r="AI61">
            <v>675414</v>
          </cell>
          <cell r="AJ61">
            <v>149952</v>
          </cell>
          <cell r="AM61">
            <v>112569</v>
          </cell>
          <cell r="AR61">
            <v>13600</v>
          </cell>
          <cell r="AS61">
            <v>3400</v>
          </cell>
          <cell r="AT61">
            <v>10200</v>
          </cell>
          <cell r="AW61">
            <v>37400</v>
          </cell>
          <cell r="AX61">
            <v>106102.7</v>
          </cell>
          <cell r="AZ61">
            <v>0</v>
          </cell>
          <cell r="BU61">
            <v>111844</v>
          </cell>
          <cell r="BX61">
            <v>75000</v>
          </cell>
          <cell r="BY61">
            <v>7137</v>
          </cell>
          <cell r="BZ61">
            <v>1346</v>
          </cell>
          <cell r="CA61">
            <v>1170</v>
          </cell>
          <cell r="CB61">
            <v>1170</v>
          </cell>
          <cell r="CC61">
            <v>1346</v>
          </cell>
          <cell r="CD61">
            <v>4680</v>
          </cell>
          <cell r="CM61">
            <v>23400</v>
          </cell>
          <cell r="CN61">
            <v>63886</v>
          </cell>
          <cell r="CO61">
            <v>3949</v>
          </cell>
          <cell r="CY61">
            <v>12650</v>
          </cell>
          <cell r="DA61">
            <v>379075</v>
          </cell>
          <cell r="DB61">
            <v>112569</v>
          </cell>
          <cell r="DC61">
            <v>0</v>
          </cell>
          <cell r="DD61">
            <v>5050586.7700000005</v>
          </cell>
          <cell r="DE61">
            <v>-112564.44000000041</v>
          </cell>
          <cell r="DF61">
            <v>4938022.33</v>
          </cell>
          <cell r="DG61">
            <v>160553.46</v>
          </cell>
          <cell r="DH61">
            <v>182875</v>
          </cell>
          <cell r="DI61">
            <v>4938022.33</v>
          </cell>
          <cell r="DJ61">
            <v>5281450.79</v>
          </cell>
          <cell r="DK61">
            <v>2829564.0700000003</v>
          </cell>
          <cell r="DL61">
            <v>448078.08999999997</v>
          </cell>
          <cell r="DM61">
            <v>27200</v>
          </cell>
          <cell r="DN61">
            <v>19787</v>
          </cell>
          <cell r="DO61">
            <v>401091.08999999997</v>
          </cell>
          <cell r="DP61">
            <v>0.89513658210781966</v>
          </cell>
          <cell r="DQ61">
            <v>2730013.9800000004</v>
          </cell>
          <cell r="DR61">
            <v>1050504</v>
          </cell>
          <cell r="DS61">
            <v>112569</v>
          </cell>
          <cell r="DT61">
            <v>218502.7</v>
          </cell>
          <cell r="DU61">
            <v>0</v>
          </cell>
          <cell r="DV61">
            <v>0</v>
          </cell>
          <cell r="DW61">
            <v>379075</v>
          </cell>
          <cell r="DX61">
            <v>111844</v>
          </cell>
          <cell r="DY61">
            <v>-112564.44000000041</v>
          </cell>
          <cell r="DZ61">
            <v>343428.45999999996</v>
          </cell>
          <cell r="EA61">
            <v>401091.08999999997</v>
          </cell>
          <cell r="EB61">
            <v>0.89513658210781966</v>
          </cell>
          <cell r="EC61">
            <v>27200</v>
          </cell>
          <cell r="ED61">
            <v>19787</v>
          </cell>
          <cell r="EE61">
            <v>448078.08999999997</v>
          </cell>
          <cell r="EF61">
            <v>5281451.6851365818</v>
          </cell>
          <cell r="EH61">
            <v>2996524.54</v>
          </cell>
          <cell r="EI61">
            <v>12805.660427350427</v>
          </cell>
          <cell r="EJ61">
            <v>10704.617692307693</v>
          </cell>
          <cell r="EK61">
            <v>4558947.33</v>
          </cell>
          <cell r="EL61">
            <v>5020559</v>
          </cell>
          <cell r="EM61">
            <v>-461611.66999999993</v>
          </cell>
          <cell r="EN61">
            <v>-9.1944277519694501E-2</v>
          </cell>
          <cell r="EO61">
            <v>-82536.669999999925</v>
          </cell>
          <cell r="EP61">
            <v>260891.79000000004</v>
          </cell>
          <cell r="EQ61">
            <v>4719519.63</v>
          </cell>
          <cell r="ER61">
            <v>3339953</v>
          </cell>
          <cell r="ES61">
            <v>14273.303418803418</v>
          </cell>
          <cell r="ET61">
            <v>600228</v>
          </cell>
          <cell r="EU61">
            <v>63</v>
          </cell>
          <cell r="EV61">
            <v>14013.430058479533</v>
          </cell>
          <cell r="EW61">
            <v>171</v>
          </cell>
        </row>
        <row r="62">
          <cell r="A62">
            <v>319</v>
          </cell>
          <cell r="B62" t="str">
            <v>Stanton ES</v>
          </cell>
          <cell r="C62" t="str">
            <v>ES</v>
          </cell>
          <cell r="D62">
            <v>8</v>
          </cell>
          <cell r="E62">
            <v>390</v>
          </cell>
          <cell r="F62">
            <v>0.90500000000000003</v>
          </cell>
          <cell r="G62">
            <v>353</v>
          </cell>
          <cell r="H62">
            <v>195277</v>
          </cell>
          <cell r="I62">
            <v>112569</v>
          </cell>
          <cell r="J62">
            <v>156529</v>
          </cell>
          <cell r="M62">
            <v>90879</v>
          </cell>
          <cell r="N62">
            <v>67876</v>
          </cell>
          <cell r="S62">
            <v>78183</v>
          </cell>
          <cell r="T62">
            <v>60194</v>
          </cell>
          <cell r="U62">
            <v>101190</v>
          </cell>
          <cell r="V62">
            <v>112569</v>
          </cell>
          <cell r="W62">
            <v>112569.07</v>
          </cell>
          <cell r="X62">
            <v>337707</v>
          </cell>
          <cell r="Z62">
            <v>225138</v>
          </cell>
          <cell r="AB62">
            <v>337707</v>
          </cell>
          <cell r="AC62">
            <v>187440</v>
          </cell>
          <cell r="AD62">
            <v>112464</v>
          </cell>
          <cell r="AE62">
            <v>1913673</v>
          </cell>
          <cell r="AG62">
            <v>112569</v>
          </cell>
          <cell r="AH62">
            <v>225138</v>
          </cell>
          <cell r="AI62">
            <v>787983</v>
          </cell>
          <cell r="AJ62">
            <v>149952</v>
          </cell>
          <cell r="AN62">
            <v>10131</v>
          </cell>
          <cell r="AR62">
            <v>20400</v>
          </cell>
          <cell r="AS62">
            <v>23800</v>
          </cell>
          <cell r="AT62">
            <v>10200</v>
          </cell>
          <cell r="AW62">
            <v>64600</v>
          </cell>
          <cell r="AX62">
            <v>283490.59500000003</v>
          </cell>
          <cell r="AZ62">
            <v>0</v>
          </cell>
          <cell r="BE62">
            <v>112569</v>
          </cell>
          <cell r="BU62">
            <v>111844</v>
          </cell>
          <cell r="BY62">
            <v>14172</v>
          </cell>
          <cell r="BZ62">
            <v>2243</v>
          </cell>
          <cell r="CA62">
            <v>1950</v>
          </cell>
          <cell r="CB62">
            <v>1950</v>
          </cell>
          <cell r="CC62">
            <v>2243</v>
          </cell>
          <cell r="CD62">
            <v>7800</v>
          </cell>
          <cell r="CM62">
            <v>39000</v>
          </cell>
          <cell r="CN62">
            <v>86542</v>
          </cell>
          <cell r="CO62">
            <v>5245</v>
          </cell>
          <cell r="CY62">
            <v>46125</v>
          </cell>
          <cell r="DA62">
            <v>205137</v>
          </cell>
          <cell r="DB62">
            <v>156529</v>
          </cell>
          <cell r="DC62">
            <v>112569</v>
          </cell>
          <cell r="DD62">
            <v>6796145.665</v>
          </cell>
          <cell r="DE62">
            <v>-232709.8878652202</v>
          </cell>
          <cell r="DF62">
            <v>6563435.7771347798</v>
          </cell>
          <cell r="DG62">
            <v>270080.59000000003</v>
          </cell>
          <cell r="DH62">
            <v>337707</v>
          </cell>
          <cell r="DI62">
            <v>6563435.7771347798</v>
          </cell>
          <cell r="DJ62">
            <v>7171223.3671347797</v>
          </cell>
          <cell r="DK62">
            <v>4109370.0700000003</v>
          </cell>
          <cell r="DL62">
            <v>893625.19500000007</v>
          </cell>
          <cell r="DM62">
            <v>54400</v>
          </cell>
          <cell r="DN62">
            <v>172866</v>
          </cell>
          <cell r="DO62">
            <v>666359.19500000007</v>
          </cell>
          <cell r="DP62">
            <v>0.74568085001229178</v>
          </cell>
          <cell r="DQ62">
            <v>3839106.875</v>
          </cell>
          <cell r="DR62">
            <v>1275642</v>
          </cell>
          <cell r="DS62">
            <v>10131</v>
          </cell>
          <cell r="DT62">
            <v>348090.59500000003</v>
          </cell>
          <cell r="DU62">
            <v>0</v>
          </cell>
          <cell r="DV62">
            <v>0</v>
          </cell>
          <cell r="DW62">
            <v>205137</v>
          </cell>
          <cell r="DX62">
            <v>111844</v>
          </cell>
          <cell r="DY62">
            <v>-120140.8878652202</v>
          </cell>
          <cell r="DZ62">
            <v>607787.59000000008</v>
          </cell>
          <cell r="EA62">
            <v>666359.19500000007</v>
          </cell>
          <cell r="EB62">
            <v>0.74568085001229178</v>
          </cell>
          <cell r="EC62">
            <v>54400</v>
          </cell>
          <cell r="ED62">
            <v>172866</v>
          </cell>
          <cell r="EE62">
            <v>893625.19500000007</v>
          </cell>
          <cell r="EF62">
            <v>7171224.1128156297</v>
          </cell>
          <cell r="EH62">
            <v>3924102.9871347798</v>
          </cell>
          <cell r="EI62">
            <v>10061.802531114819</v>
          </cell>
          <cell r="EJ62">
            <v>8845.8153516276398</v>
          </cell>
          <cell r="EK62">
            <v>6358298.7771347798</v>
          </cell>
          <cell r="EL62">
            <v>6564754</v>
          </cell>
          <cell r="EM62">
            <v>-206455.22286522016</v>
          </cell>
          <cell r="EN62">
            <v>-3.1449041786671697E-2</v>
          </cell>
          <cell r="EO62">
            <v>-1318.2228652201593</v>
          </cell>
          <cell r="EP62">
            <v>606469.36713477969</v>
          </cell>
          <cell r="EQ62">
            <v>6215345.1821347801</v>
          </cell>
          <cell r="ER62">
            <v>4531890.5771347797</v>
          </cell>
          <cell r="ES62">
            <v>11620.232249063538</v>
          </cell>
          <cell r="ET62">
            <v>750285</v>
          </cell>
          <cell r="EU62">
            <v>77</v>
          </cell>
          <cell r="EV62">
            <v>10139.993569120703</v>
          </cell>
          <cell r="EW62">
            <v>313</v>
          </cell>
        </row>
        <row r="63">
          <cell r="A63">
            <v>321</v>
          </cell>
          <cell r="B63" t="str">
            <v>Stoddert ES</v>
          </cell>
          <cell r="C63" t="str">
            <v>ES</v>
          </cell>
          <cell r="D63">
            <v>3</v>
          </cell>
          <cell r="E63">
            <v>453</v>
          </cell>
          <cell r="F63">
            <v>9.2999999999999999E-2</v>
          </cell>
          <cell r="G63">
            <v>42</v>
          </cell>
          <cell r="H63">
            <v>195277</v>
          </cell>
          <cell r="I63">
            <v>112569</v>
          </cell>
          <cell r="J63">
            <v>172182</v>
          </cell>
          <cell r="M63">
            <v>90879</v>
          </cell>
          <cell r="N63">
            <v>67876</v>
          </cell>
          <cell r="O63">
            <v>55703</v>
          </cell>
          <cell r="S63">
            <v>78183</v>
          </cell>
          <cell r="T63">
            <v>60194</v>
          </cell>
          <cell r="U63">
            <v>101190</v>
          </cell>
          <cell r="V63">
            <v>112569</v>
          </cell>
          <cell r="X63">
            <v>506561</v>
          </cell>
          <cell r="AB63">
            <v>112569</v>
          </cell>
          <cell r="AC63">
            <v>37488</v>
          </cell>
          <cell r="AD63">
            <v>149952</v>
          </cell>
          <cell r="AE63">
            <v>2589087</v>
          </cell>
          <cell r="AG63">
            <v>112569</v>
          </cell>
          <cell r="AH63">
            <v>112569</v>
          </cell>
          <cell r="AI63">
            <v>337707</v>
          </cell>
          <cell r="AM63">
            <v>562845</v>
          </cell>
          <cell r="AP63">
            <v>112569</v>
          </cell>
          <cell r="AW63">
            <v>0</v>
          </cell>
          <cell r="AX63">
            <v>0</v>
          </cell>
          <cell r="AY63">
            <v>11325</v>
          </cell>
          <cell r="AZ63">
            <v>0</v>
          </cell>
          <cell r="BU63">
            <v>111844</v>
          </cell>
          <cell r="BZ63">
            <v>2605</v>
          </cell>
          <cell r="CA63">
            <v>2265</v>
          </cell>
          <cell r="CB63">
            <v>2265</v>
          </cell>
          <cell r="CC63">
            <v>2605</v>
          </cell>
          <cell r="CD63">
            <v>9060</v>
          </cell>
          <cell r="CM63">
            <v>45300</v>
          </cell>
          <cell r="CN63">
            <v>91457</v>
          </cell>
          <cell r="CO63">
            <v>5477</v>
          </cell>
          <cell r="CY63">
            <v>3500</v>
          </cell>
          <cell r="DC63">
            <v>0</v>
          </cell>
          <cell r="DD63">
            <v>5968241</v>
          </cell>
          <cell r="DE63">
            <v>8.8966699996963143</v>
          </cell>
          <cell r="DF63">
            <v>5968249.8966699997</v>
          </cell>
          <cell r="DG63">
            <v>65586.710000000006</v>
          </cell>
          <cell r="DH63">
            <v>37488</v>
          </cell>
          <cell r="DI63">
            <v>5968249.8966699997</v>
          </cell>
          <cell r="DJ63">
            <v>6071324.6066699997</v>
          </cell>
          <cell r="DK63">
            <v>4363746</v>
          </cell>
          <cell r="DL63">
            <v>106324</v>
          </cell>
          <cell r="DM63">
            <v>0</v>
          </cell>
          <cell r="DN63">
            <v>3500</v>
          </cell>
          <cell r="DO63">
            <v>102824</v>
          </cell>
          <cell r="DP63">
            <v>0.96708175012226782</v>
          </cell>
          <cell r="DQ63">
            <v>4500489</v>
          </cell>
          <cell r="DR63">
            <v>562845</v>
          </cell>
          <cell r="DS63">
            <v>675414</v>
          </cell>
          <cell r="DT63">
            <v>11325</v>
          </cell>
          <cell r="DU63">
            <v>0</v>
          </cell>
          <cell r="DV63">
            <v>0</v>
          </cell>
          <cell r="DW63">
            <v>0</v>
          </cell>
          <cell r="DX63">
            <v>111844</v>
          </cell>
          <cell r="DY63">
            <v>8.8966699996963143</v>
          </cell>
          <cell r="DZ63">
            <v>103074.71</v>
          </cell>
          <cell r="EA63">
            <v>102824</v>
          </cell>
          <cell r="EB63">
            <v>0.96708175012226782</v>
          </cell>
          <cell r="EC63">
            <v>0</v>
          </cell>
          <cell r="ED63">
            <v>3500</v>
          </cell>
          <cell r="EE63">
            <v>106324</v>
          </cell>
          <cell r="EF63">
            <v>6071325.5737517495</v>
          </cell>
          <cell r="EH63">
            <v>4500497.8966699997</v>
          </cell>
          <cell r="EI63">
            <v>9934.8739440838854</v>
          </cell>
          <cell r="EJ63">
            <v>9934.8739440838854</v>
          </cell>
          <cell r="EK63">
            <v>5968249.8966699997</v>
          </cell>
          <cell r="EL63">
            <v>5894690</v>
          </cell>
          <cell r="EM63">
            <v>73559.896669999696</v>
          </cell>
          <cell r="EN63">
            <v>1.2479010205795334E-2</v>
          </cell>
          <cell r="EO63">
            <v>73559.896669999696</v>
          </cell>
          <cell r="EP63">
            <v>176634.60666999966</v>
          </cell>
          <cell r="EQ63">
            <v>5956924.8966699997</v>
          </cell>
          <cell r="ER63">
            <v>4603572.6066699997</v>
          </cell>
          <cell r="ES63">
            <v>10162.411935253862</v>
          </cell>
          <cell r="ET63">
            <v>150057</v>
          </cell>
          <cell r="EU63">
            <v>19</v>
          </cell>
          <cell r="EV63">
            <v>10024.057365599077</v>
          </cell>
          <cell r="EW63">
            <v>434</v>
          </cell>
        </row>
        <row r="64">
          <cell r="A64">
            <v>325</v>
          </cell>
          <cell r="B64" t="str">
            <v>Thomas ES</v>
          </cell>
          <cell r="C64" t="str">
            <v>ES</v>
          </cell>
          <cell r="D64">
            <v>7</v>
          </cell>
          <cell r="E64">
            <v>318</v>
          </cell>
          <cell r="F64">
            <v>0.82099999999999995</v>
          </cell>
          <cell r="G64">
            <v>261</v>
          </cell>
          <cell r="H64">
            <v>195277</v>
          </cell>
          <cell r="I64">
            <v>112569</v>
          </cell>
          <cell r="J64">
            <v>125223</v>
          </cell>
          <cell r="M64">
            <v>90879</v>
          </cell>
          <cell r="N64">
            <v>67876</v>
          </cell>
          <cell r="S64">
            <v>78183</v>
          </cell>
          <cell r="T64">
            <v>60194</v>
          </cell>
          <cell r="U64">
            <v>101190</v>
          </cell>
          <cell r="V64">
            <v>112569</v>
          </cell>
          <cell r="X64">
            <v>337707</v>
          </cell>
          <cell r="Z64">
            <v>225138</v>
          </cell>
          <cell r="AA64">
            <v>225138</v>
          </cell>
          <cell r="AB64">
            <v>112569</v>
          </cell>
          <cell r="AC64">
            <v>187440</v>
          </cell>
          <cell r="AD64">
            <v>112464</v>
          </cell>
          <cell r="AE64">
            <v>1463397</v>
          </cell>
          <cell r="AG64">
            <v>112569</v>
          </cell>
          <cell r="AH64">
            <v>112569</v>
          </cell>
          <cell r="AI64">
            <v>787983</v>
          </cell>
          <cell r="AJ64">
            <v>187440</v>
          </cell>
          <cell r="AN64">
            <v>25891</v>
          </cell>
          <cell r="AR64">
            <v>13600</v>
          </cell>
          <cell r="AS64">
            <v>10200</v>
          </cell>
          <cell r="AT64">
            <v>10200</v>
          </cell>
          <cell r="AW64">
            <v>44200</v>
          </cell>
          <cell r="AX64">
            <v>250842.875</v>
          </cell>
          <cell r="AZ64">
            <v>0</v>
          </cell>
          <cell r="BE64">
            <v>112569</v>
          </cell>
          <cell r="BU64">
            <v>55922</v>
          </cell>
          <cell r="BY64">
            <v>10475</v>
          </cell>
          <cell r="BZ64">
            <v>1829</v>
          </cell>
          <cell r="CA64">
            <v>1590</v>
          </cell>
          <cell r="CB64">
            <v>1590</v>
          </cell>
          <cell r="CC64">
            <v>1829</v>
          </cell>
          <cell r="CD64">
            <v>6360</v>
          </cell>
          <cell r="CM64">
            <v>31800</v>
          </cell>
          <cell r="CN64">
            <v>77827</v>
          </cell>
          <cell r="CO64">
            <v>5394</v>
          </cell>
          <cell r="CV64">
            <v>13859</v>
          </cell>
          <cell r="CY64">
            <v>28275</v>
          </cell>
          <cell r="DC64">
            <v>0</v>
          </cell>
          <cell r="DD64">
            <v>5512626.875</v>
          </cell>
          <cell r="DE64">
            <v>-106950.26806133706</v>
          </cell>
          <cell r="DF64">
            <v>5405676.6069386629</v>
          </cell>
          <cell r="DG64">
            <v>241621.21</v>
          </cell>
          <cell r="DH64">
            <v>168018</v>
          </cell>
          <cell r="DI64">
            <v>5405676.6069386629</v>
          </cell>
          <cell r="DJ64">
            <v>5815315.8169386629</v>
          </cell>
          <cell r="DK64">
            <v>3496465</v>
          </cell>
          <cell r="DL64">
            <v>660724.93999999994</v>
          </cell>
          <cell r="DM64">
            <v>34000</v>
          </cell>
          <cell r="DN64">
            <v>151319</v>
          </cell>
          <cell r="DO64">
            <v>475405.93999999994</v>
          </cell>
          <cell r="DP64">
            <v>0.71952171201529036</v>
          </cell>
          <cell r="DQ64">
            <v>3274485.06</v>
          </cell>
          <cell r="DR64">
            <v>1200561</v>
          </cell>
          <cell r="DS64">
            <v>25891</v>
          </cell>
          <cell r="DT64">
            <v>295042.875</v>
          </cell>
          <cell r="DU64">
            <v>0</v>
          </cell>
          <cell r="DV64">
            <v>0</v>
          </cell>
          <cell r="DW64">
            <v>0</v>
          </cell>
          <cell r="DX64">
            <v>55922</v>
          </cell>
          <cell r="DY64">
            <v>-106950.26806133706</v>
          </cell>
          <cell r="DZ64">
            <v>409639.20999999996</v>
          </cell>
          <cell r="EA64">
            <v>475405.93999999994</v>
          </cell>
          <cell r="EB64">
            <v>0.71952171201529036</v>
          </cell>
          <cell r="EC64">
            <v>34000</v>
          </cell>
          <cell r="ED64">
            <v>151319</v>
          </cell>
          <cell r="EE64">
            <v>660724.93999999994</v>
          </cell>
          <cell r="EF64">
            <v>5815316.5364603745</v>
          </cell>
          <cell r="EH64">
            <v>3167534.791938663</v>
          </cell>
          <cell r="EI64">
            <v>9960.8012325115196</v>
          </cell>
          <cell r="EJ64">
            <v>9960.8012325115196</v>
          </cell>
          <cell r="EK64">
            <v>5405676.6069386629</v>
          </cell>
          <cell r="EL64">
            <v>5541082</v>
          </cell>
          <cell r="EM64">
            <v>-135405.39306133706</v>
          </cell>
          <cell r="EN64">
            <v>-2.4436634047526648E-2</v>
          </cell>
          <cell r="EO64">
            <v>-135405.39306133706</v>
          </cell>
          <cell r="EP64">
            <v>274233.8169386629</v>
          </cell>
          <cell r="EQ64">
            <v>5110633.7319386629</v>
          </cell>
          <cell r="ER64">
            <v>3577174.001938663</v>
          </cell>
          <cell r="ES64">
            <v>11248.97484886372</v>
          </cell>
          <cell r="ET64">
            <v>750285</v>
          </cell>
          <cell r="EU64">
            <v>79</v>
          </cell>
          <cell r="EV64">
            <v>10114.015865852147</v>
          </cell>
          <cell r="EW64">
            <v>239</v>
          </cell>
        </row>
        <row r="65">
          <cell r="A65">
            <v>326</v>
          </cell>
          <cell r="B65" t="str">
            <v>Thomson ES</v>
          </cell>
          <cell r="C65" t="str">
            <v>ES</v>
          </cell>
          <cell r="D65">
            <v>2</v>
          </cell>
          <cell r="E65">
            <v>300</v>
          </cell>
          <cell r="F65">
            <v>0.437</v>
          </cell>
          <cell r="G65">
            <v>131</v>
          </cell>
          <cell r="H65">
            <v>195277</v>
          </cell>
          <cell r="I65">
            <v>112569</v>
          </cell>
          <cell r="J65">
            <v>125223</v>
          </cell>
          <cell r="M65">
            <v>90879</v>
          </cell>
          <cell r="N65">
            <v>67876</v>
          </cell>
          <cell r="S65">
            <v>78183</v>
          </cell>
          <cell r="T65">
            <v>60194</v>
          </cell>
          <cell r="U65">
            <v>101190</v>
          </cell>
          <cell r="V65">
            <v>112569</v>
          </cell>
          <cell r="X65">
            <v>337707</v>
          </cell>
          <cell r="AA65">
            <v>562845</v>
          </cell>
          <cell r="AC65">
            <v>187440</v>
          </cell>
          <cell r="AD65">
            <v>74976</v>
          </cell>
          <cell r="AE65">
            <v>1238259</v>
          </cell>
          <cell r="AG65">
            <v>112569</v>
          </cell>
          <cell r="AH65">
            <v>112569</v>
          </cell>
          <cell r="AI65">
            <v>337707</v>
          </cell>
          <cell r="AM65">
            <v>675414</v>
          </cell>
          <cell r="AP65">
            <v>112569</v>
          </cell>
          <cell r="AR65">
            <v>27200</v>
          </cell>
          <cell r="AS65">
            <v>10200</v>
          </cell>
          <cell r="AT65">
            <v>10200</v>
          </cell>
          <cell r="AW65">
            <v>71400</v>
          </cell>
          <cell r="AX65">
            <v>136028.46999999997</v>
          </cell>
          <cell r="AZ65">
            <v>0</v>
          </cell>
          <cell r="BA65">
            <v>117087</v>
          </cell>
          <cell r="BU65">
            <v>55922</v>
          </cell>
          <cell r="BY65">
            <v>2623</v>
          </cell>
          <cell r="BZ65">
            <v>1725</v>
          </cell>
          <cell r="CA65">
            <v>1500</v>
          </cell>
          <cell r="CB65">
            <v>1500</v>
          </cell>
          <cell r="CC65">
            <v>1725</v>
          </cell>
          <cell r="CD65">
            <v>6000</v>
          </cell>
          <cell r="CM65">
            <v>30000</v>
          </cell>
          <cell r="CN65">
            <v>77491</v>
          </cell>
          <cell r="CO65">
            <v>4177</v>
          </cell>
          <cell r="CW65">
            <v>20955</v>
          </cell>
          <cell r="CY65">
            <v>10575</v>
          </cell>
          <cell r="DA65">
            <v>88329</v>
          </cell>
          <cell r="DC65">
            <v>0</v>
          </cell>
          <cell r="DD65">
            <v>5370652.4699999997</v>
          </cell>
          <cell r="DE65">
            <v>8.2533300006762147</v>
          </cell>
          <cell r="DF65">
            <v>5370660.7233300004</v>
          </cell>
          <cell r="DG65">
            <v>127283.02</v>
          </cell>
          <cell r="DH65">
            <v>251984</v>
          </cell>
          <cell r="DI65">
            <v>5370660.7233300004</v>
          </cell>
          <cell r="DJ65">
            <v>5749927.74333</v>
          </cell>
          <cell r="DK65">
            <v>3229738</v>
          </cell>
          <cell r="DL65">
            <v>331629</v>
          </cell>
          <cell r="DM65">
            <v>47600</v>
          </cell>
          <cell r="DN65">
            <v>13198</v>
          </cell>
          <cell r="DO65">
            <v>270831</v>
          </cell>
          <cell r="DP65">
            <v>0.81666862668825702</v>
          </cell>
          <cell r="DQ65">
            <v>3336516</v>
          </cell>
          <cell r="DR65">
            <v>562845</v>
          </cell>
          <cell r="DS65">
            <v>787983</v>
          </cell>
          <cell r="DT65">
            <v>207428.46999999997</v>
          </cell>
          <cell r="DU65">
            <v>0</v>
          </cell>
          <cell r="DV65">
            <v>0</v>
          </cell>
          <cell r="DW65">
            <v>88329</v>
          </cell>
          <cell r="DX65">
            <v>55922</v>
          </cell>
          <cell r="DY65">
            <v>8.2533300006762147</v>
          </cell>
          <cell r="DZ65">
            <v>379267.02</v>
          </cell>
          <cell r="EA65">
            <v>270831</v>
          </cell>
          <cell r="EB65">
            <v>0.81666862668825702</v>
          </cell>
          <cell r="EC65">
            <v>47600</v>
          </cell>
          <cell r="ED65">
            <v>13198</v>
          </cell>
          <cell r="EE65">
            <v>331629</v>
          </cell>
          <cell r="EF65">
            <v>5749928.5599986268</v>
          </cell>
          <cell r="EH65">
            <v>3424853.2533300007</v>
          </cell>
          <cell r="EI65">
            <v>11416.177511100002</v>
          </cell>
          <cell r="EJ65">
            <v>11121.747511100002</v>
          </cell>
          <cell r="EK65">
            <v>5282331.7233300004</v>
          </cell>
          <cell r="EL65">
            <v>5622644</v>
          </cell>
          <cell r="EM65">
            <v>-340312.27666999958</v>
          </cell>
          <cell r="EN65">
            <v>-6.0525310987144053E-2</v>
          </cell>
          <cell r="EO65">
            <v>-251983.27666999958</v>
          </cell>
          <cell r="EP65">
            <v>127283.74332999997</v>
          </cell>
          <cell r="EQ65">
            <v>5163232.2533300007</v>
          </cell>
          <cell r="ER65">
            <v>3804120.2733300007</v>
          </cell>
          <cell r="ES65">
            <v>12680.400911100003</v>
          </cell>
          <cell r="ET65">
            <v>750285</v>
          </cell>
          <cell r="EU65">
            <v>80</v>
          </cell>
          <cell r="EV65">
            <v>12157.128424227276</v>
          </cell>
          <cell r="EW65">
            <v>220</v>
          </cell>
        </row>
        <row r="66">
          <cell r="A66">
            <v>327</v>
          </cell>
          <cell r="B66" t="str">
            <v>Truesdell ES</v>
          </cell>
          <cell r="C66" t="str">
            <v>ES</v>
          </cell>
          <cell r="D66">
            <v>4</v>
          </cell>
          <cell r="E66">
            <v>489</v>
          </cell>
          <cell r="F66">
            <v>0.624</v>
          </cell>
          <cell r="G66">
            <v>305</v>
          </cell>
          <cell r="H66">
            <v>195277</v>
          </cell>
          <cell r="I66">
            <v>112569</v>
          </cell>
          <cell r="J66">
            <v>187835</v>
          </cell>
          <cell r="M66">
            <v>90879</v>
          </cell>
          <cell r="N66">
            <v>67876</v>
          </cell>
          <cell r="O66">
            <v>60767</v>
          </cell>
          <cell r="S66">
            <v>78183</v>
          </cell>
          <cell r="T66">
            <v>60194</v>
          </cell>
          <cell r="U66">
            <v>101190</v>
          </cell>
          <cell r="V66">
            <v>112569</v>
          </cell>
          <cell r="X66">
            <v>506561</v>
          </cell>
          <cell r="Z66">
            <v>337707</v>
          </cell>
          <cell r="AA66">
            <v>112569</v>
          </cell>
          <cell r="AB66">
            <v>337707</v>
          </cell>
          <cell r="AC66">
            <v>262416</v>
          </cell>
          <cell r="AD66">
            <v>149952</v>
          </cell>
          <cell r="AE66">
            <v>2251380</v>
          </cell>
          <cell r="AG66">
            <v>112569</v>
          </cell>
          <cell r="AH66">
            <v>450276</v>
          </cell>
          <cell r="AI66">
            <v>787983</v>
          </cell>
          <cell r="AJ66">
            <v>74976</v>
          </cell>
          <cell r="AK66">
            <v>110030</v>
          </cell>
          <cell r="AM66">
            <v>1463397</v>
          </cell>
          <cell r="AP66">
            <v>337707</v>
          </cell>
          <cell r="AR66">
            <v>34000</v>
          </cell>
          <cell r="AS66">
            <v>10200</v>
          </cell>
          <cell r="AT66">
            <v>10200</v>
          </cell>
          <cell r="AW66">
            <v>64600</v>
          </cell>
          <cell r="AX66">
            <v>221729.75</v>
          </cell>
          <cell r="AZ66">
            <v>0</v>
          </cell>
          <cell r="BU66">
            <v>111844</v>
          </cell>
          <cell r="BY66">
            <v>6105</v>
          </cell>
          <cell r="BZ66">
            <v>2812</v>
          </cell>
          <cell r="CA66">
            <v>2445</v>
          </cell>
          <cell r="CB66">
            <v>2445</v>
          </cell>
          <cell r="CC66">
            <v>2812</v>
          </cell>
          <cell r="CD66">
            <v>9780</v>
          </cell>
          <cell r="CM66">
            <v>48900</v>
          </cell>
          <cell r="CN66">
            <v>134638</v>
          </cell>
          <cell r="CO66">
            <v>4652</v>
          </cell>
          <cell r="CY66">
            <v>26675</v>
          </cell>
          <cell r="DA66">
            <v>260048</v>
          </cell>
          <cell r="DC66">
            <v>0</v>
          </cell>
          <cell r="DD66">
            <v>9316454.75</v>
          </cell>
          <cell r="DE66">
            <v>13.793332999572158</v>
          </cell>
          <cell r="DF66">
            <v>9316468.5433329996</v>
          </cell>
          <cell r="DG66">
            <v>279778.52</v>
          </cell>
          <cell r="DH66">
            <v>426475</v>
          </cell>
          <cell r="DI66">
            <v>9316468.5433329996</v>
          </cell>
          <cell r="DJ66">
            <v>10022722.063332999</v>
          </cell>
          <cell r="DK66">
            <v>4994548</v>
          </cell>
          <cell r="DL66">
            <v>772114.1</v>
          </cell>
          <cell r="DM66">
            <v>54400</v>
          </cell>
          <cell r="DN66">
            <v>32780</v>
          </cell>
          <cell r="DO66">
            <v>684934.1</v>
          </cell>
          <cell r="DP66">
            <v>0.887089226838365</v>
          </cell>
          <cell r="DQ66">
            <v>4549180.9000000004</v>
          </cell>
          <cell r="DR66">
            <v>1535834</v>
          </cell>
          <cell r="DS66">
            <v>1801104</v>
          </cell>
          <cell r="DT66">
            <v>286329.75</v>
          </cell>
          <cell r="DU66">
            <v>0</v>
          </cell>
          <cell r="DV66">
            <v>0</v>
          </cell>
          <cell r="DW66">
            <v>260048</v>
          </cell>
          <cell r="DX66">
            <v>111844</v>
          </cell>
          <cell r="DY66">
            <v>13.793332999572158</v>
          </cell>
          <cell r="DZ66">
            <v>706253.52</v>
          </cell>
          <cell r="EA66">
            <v>684934.1</v>
          </cell>
          <cell r="EB66">
            <v>0.887089226838365</v>
          </cell>
          <cell r="EC66">
            <v>54400</v>
          </cell>
          <cell r="ED66">
            <v>32780</v>
          </cell>
          <cell r="EE66">
            <v>772114.1</v>
          </cell>
          <cell r="EF66">
            <v>10022722.950422226</v>
          </cell>
          <cell r="EH66">
            <v>4809242.6933329999</v>
          </cell>
          <cell r="EI66">
            <v>9834.8521336053163</v>
          </cell>
          <cell r="EJ66">
            <v>9303.0566325828222</v>
          </cell>
          <cell r="EK66">
            <v>9056420.5433329996</v>
          </cell>
          <cell r="EL66">
            <v>9742944</v>
          </cell>
          <cell r="EM66">
            <v>-686523.45666700043</v>
          </cell>
          <cell r="EN66">
            <v>-7.0463656228240704E-2</v>
          </cell>
          <cell r="EO66">
            <v>-426475.45666700043</v>
          </cell>
          <cell r="EP66">
            <v>279778.06333299913</v>
          </cell>
          <cell r="EQ66">
            <v>9030138.7933329996</v>
          </cell>
          <cell r="ER66">
            <v>5515496.2133329995</v>
          </cell>
          <cell r="ES66">
            <v>11279.13336059918</v>
          </cell>
          <cell r="ET66">
            <v>1050399</v>
          </cell>
          <cell r="EU66">
            <v>110</v>
          </cell>
          <cell r="EV66">
            <v>9917.7933861029014</v>
          </cell>
          <cell r="EW66">
            <v>379</v>
          </cell>
        </row>
        <row r="67">
          <cell r="A67">
            <v>328</v>
          </cell>
          <cell r="B67" t="str">
            <v>Tubman ES</v>
          </cell>
          <cell r="C67" t="str">
            <v>ES</v>
          </cell>
          <cell r="D67">
            <v>1</v>
          </cell>
          <cell r="E67">
            <v>549</v>
          </cell>
          <cell r="F67">
            <v>0.53600000000000003</v>
          </cell>
          <cell r="G67">
            <v>294</v>
          </cell>
          <cell r="H67">
            <v>195277</v>
          </cell>
          <cell r="I67">
            <v>112569</v>
          </cell>
          <cell r="J67">
            <v>219141</v>
          </cell>
          <cell r="M67">
            <v>90879</v>
          </cell>
          <cell r="N67">
            <v>67876</v>
          </cell>
          <cell r="O67">
            <v>70895</v>
          </cell>
          <cell r="S67">
            <v>78183</v>
          </cell>
          <cell r="T67">
            <v>60194</v>
          </cell>
          <cell r="U67">
            <v>151785</v>
          </cell>
          <cell r="V67">
            <v>112569</v>
          </cell>
          <cell r="X67">
            <v>506561</v>
          </cell>
          <cell r="AA67">
            <v>450276</v>
          </cell>
          <cell r="AC67">
            <v>149952</v>
          </cell>
          <cell r="AD67">
            <v>149952</v>
          </cell>
          <cell r="AE67">
            <v>2589087</v>
          </cell>
          <cell r="AG67">
            <v>112569</v>
          </cell>
          <cell r="AH67">
            <v>225138</v>
          </cell>
          <cell r="AI67">
            <v>1013121</v>
          </cell>
          <cell r="AJ67">
            <v>149952</v>
          </cell>
          <cell r="AM67">
            <v>1688535</v>
          </cell>
          <cell r="AO67">
            <v>37488</v>
          </cell>
          <cell r="AP67">
            <v>337707</v>
          </cell>
          <cell r="AW67">
            <v>0</v>
          </cell>
          <cell r="AX67">
            <v>248934.06</v>
          </cell>
          <cell r="AZ67">
            <v>0</v>
          </cell>
          <cell r="BU67">
            <v>111844</v>
          </cell>
          <cell r="BY67">
            <v>5875</v>
          </cell>
          <cell r="BZ67">
            <v>3157</v>
          </cell>
          <cell r="CA67">
            <v>2745</v>
          </cell>
          <cell r="CB67">
            <v>2745</v>
          </cell>
          <cell r="CC67">
            <v>3157</v>
          </cell>
          <cell r="CD67">
            <v>10980</v>
          </cell>
          <cell r="CM67">
            <v>54900</v>
          </cell>
          <cell r="CN67">
            <v>137973</v>
          </cell>
          <cell r="CO67">
            <v>5362</v>
          </cell>
          <cell r="CY67">
            <v>33150</v>
          </cell>
          <cell r="DB67">
            <v>112569</v>
          </cell>
          <cell r="DC67">
            <v>337707</v>
          </cell>
          <cell r="DD67">
            <v>9640804.0600000005</v>
          </cell>
          <cell r="DE67">
            <v>14.019999999552965</v>
          </cell>
          <cell r="DF67">
            <v>9640818.0800000001</v>
          </cell>
          <cell r="DG67">
            <v>147699.26999999999</v>
          </cell>
          <cell r="DH67">
            <v>345319</v>
          </cell>
          <cell r="DI67">
            <v>9640818.0800000001</v>
          </cell>
          <cell r="DJ67">
            <v>10133836.35</v>
          </cell>
          <cell r="DK67">
            <v>4936053</v>
          </cell>
          <cell r="DL67">
            <v>744266.66</v>
          </cell>
          <cell r="DM67">
            <v>0</v>
          </cell>
          <cell r="DN67">
            <v>39025</v>
          </cell>
          <cell r="DO67">
            <v>705241.66</v>
          </cell>
          <cell r="DP67">
            <v>0.94756583614802792</v>
          </cell>
          <cell r="DQ67">
            <v>4633542.34</v>
          </cell>
          <cell r="DR67">
            <v>1500780</v>
          </cell>
          <cell r="DS67">
            <v>2063730</v>
          </cell>
          <cell r="DT67">
            <v>248934.06</v>
          </cell>
          <cell r="DU67">
            <v>0</v>
          </cell>
          <cell r="DV67">
            <v>0</v>
          </cell>
          <cell r="DW67">
            <v>0</v>
          </cell>
          <cell r="DX67">
            <v>111844</v>
          </cell>
          <cell r="DY67">
            <v>337721.01999999955</v>
          </cell>
          <cell r="DZ67">
            <v>493018.27</v>
          </cell>
          <cell r="EA67">
            <v>705241.66</v>
          </cell>
          <cell r="EB67">
            <v>0.94756583614802792</v>
          </cell>
          <cell r="EC67">
            <v>0</v>
          </cell>
          <cell r="ED67">
            <v>39025</v>
          </cell>
          <cell r="EE67">
            <v>744266.66</v>
          </cell>
          <cell r="EF67">
            <v>10133837.297565836</v>
          </cell>
          <cell r="EH67">
            <v>4971263.3599999994</v>
          </cell>
          <cell r="EI67">
            <v>9055.124517304188</v>
          </cell>
          <cell r="EJ67">
            <v>8234.9496539162101</v>
          </cell>
          <cell r="EK67">
            <v>9640818.0800000001</v>
          </cell>
          <cell r="EL67">
            <v>9526377</v>
          </cell>
          <cell r="EM67">
            <v>114441.08000000007</v>
          </cell>
          <cell r="EN67">
            <v>1.2013074855215165E-2</v>
          </cell>
          <cell r="EO67">
            <v>114441.08000000007</v>
          </cell>
          <cell r="EP67">
            <v>607459.34999999963</v>
          </cell>
          <cell r="EQ67">
            <v>9391884.0199999996</v>
          </cell>
          <cell r="ER67">
            <v>5464281.629999999</v>
          </cell>
          <cell r="ES67">
            <v>9953.1541530054619</v>
          </cell>
          <cell r="ET67">
            <v>600228</v>
          </cell>
          <cell r="EU67">
            <v>64</v>
          </cell>
          <cell r="EV67">
            <v>9012.4440412371114</v>
          </cell>
          <cell r="EW67">
            <v>485</v>
          </cell>
        </row>
        <row r="68">
          <cell r="A68">
            <v>329</v>
          </cell>
          <cell r="B68" t="str">
            <v>Turner ES</v>
          </cell>
          <cell r="C68" t="str">
            <v>ES</v>
          </cell>
          <cell r="D68">
            <v>8</v>
          </cell>
          <cell r="E68">
            <v>489</v>
          </cell>
          <cell r="F68">
            <v>0.78900000000000003</v>
          </cell>
          <cell r="G68">
            <v>386</v>
          </cell>
          <cell r="H68">
            <v>195277</v>
          </cell>
          <cell r="I68">
            <v>112569</v>
          </cell>
          <cell r="J68">
            <v>187835</v>
          </cell>
          <cell r="M68">
            <v>90879</v>
          </cell>
          <cell r="N68">
            <v>67876</v>
          </cell>
          <cell r="O68">
            <v>60767</v>
          </cell>
          <cell r="S68">
            <v>78183</v>
          </cell>
          <cell r="T68">
            <v>60194</v>
          </cell>
          <cell r="U68">
            <v>101190</v>
          </cell>
          <cell r="V68">
            <v>112569</v>
          </cell>
          <cell r="X68">
            <v>506561</v>
          </cell>
          <cell r="Y68">
            <v>56284</v>
          </cell>
          <cell r="Z68">
            <v>225138</v>
          </cell>
          <cell r="AA68">
            <v>112569</v>
          </cell>
          <cell r="AB68">
            <v>225138</v>
          </cell>
          <cell r="AC68">
            <v>187440</v>
          </cell>
          <cell r="AD68">
            <v>112464</v>
          </cell>
          <cell r="AE68">
            <v>2026242</v>
          </cell>
          <cell r="AG68">
            <v>112569</v>
          </cell>
          <cell r="AH68">
            <v>225138</v>
          </cell>
          <cell r="AI68">
            <v>900552</v>
          </cell>
          <cell r="AJ68">
            <v>149952</v>
          </cell>
          <cell r="AN68">
            <v>10131</v>
          </cell>
          <cell r="AR68">
            <v>27200</v>
          </cell>
          <cell r="AS68">
            <v>3400</v>
          </cell>
          <cell r="AT68">
            <v>10200</v>
          </cell>
          <cell r="AW68">
            <v>51000</v>
          </cell>
          <cell r="AX68">
            <v>221730.03</v>
          </cell>
          <cell r="AZ68">
            <v>0</v>
          </cell>
          <cell r="BA68">
            <v>117087</v>
          </cell>
          <cell r="BU68">
            <v>132202</v>
          </cell>
          <cell r="BY68">
            <v>15481</v>
          </cell>
          <cell r="BZ68">
            <v>2812</v>
          </cell>
          <cell r="CA68">
            <v>2445</v>
          </cell>
          <cell r="CB68">
            <v>2445</v>
          </cell>
          <cell r="CC68">
            <v>2812</v>
          </cell>
          <cell r="CD68">
            <v>9780</v>
          </cell>
          <cell r="CM68">
            <v>48900</v>
          </cell>
          <cell r="CN68">
            <v>97159</v>
          </cell>
          <cell r="CO68">
            <v>6815</v>
          </cell>
          <cell r="CW68">
            <v>21955</v>
          </cell>
          <cell r="CY68">
            <v>47625</v>
          </cell>
          <cell r="DC68">
            <v>112569</v>
          </cell>
          <cell r="DD68">
            <v>6851134.0300000003</v>
          </cell>
          <cell r="DE68">
            <v>13971.447134778835</v>
          </cell>
          <cell r="DF68">
            <v>6865105.4771347791</v>
          </cell>
          <cell r="DG68">
            <v>312119.38</v>
          </cell>
          <cell r="DH68">
            <v>412683</v>
          </cell>
          <cell r="DI68">
            <v>6865105.4771347791</v>
          </cell>
          <cell r="DJ68">
            <v>7589907.857134779</v>
          </cell>
          <cell r="DK68">
            <v>4396492</v>
          </cell>
          <cell r="DL68">
            <v>977165.85499999998</v>
          </cell>
          <cell r="DM68">
            <v>40800</v>
          </cell>
          <cell r="DN68">
            <v>119390</v>
          </cell>
          <cell r="DO68">
            <v>816975.85499999998</v>
          </cell>
          <cell r="DP68">
            <v>0.83606672380094571</v>
          </cell>
          <cell r="DQ68">
            <v>3958125.145</v>
          </cell>
          <cell r="DR68">
            <v>1388211</v>
          </cell>
          <cell r="DS68">
            <v>10131</v>
          </cell>
          <cell r="DT68">
            <v>272730.03000000003</v>
          </cell>
          <cell r="DU68">
            <v>0</v>
          </cell>
          <cell r="DV68">
            <v>0</v>
          </cell>
          <cell r="DW68">
            <v>0</v>
          </cell>
          <cell r="DX68">
            <v>132202</v>
          </cell>
          <cell r="DY68">
            <v>126540.44713477883</v>
          </cell>
          <cell r="DZ68">
            <v>724802.38</v>
          </cell>
          <cell r="EA68">
            <v>816975.85499999998</v>
          </cell>
          <cell r="EB68">
            <v>0.83606672380094571</v>
          </cell>
          <cell r="EC68">
            <v>40800</v>
          </cell>
          <cell r="ED68">
            <v>119390</v>
          </cell>
          <cell r="EE68">
            <v>977165.85499999998</v>
          </cell>
          <cell r="EF68">
            <v>7589908.6932015019</v>
          </cell>
          <cell r="EH68">
            <v>4084665.5921347789</v>
          </cell>
          <cell r="EI68">
            <v>8353.0993704187713</v>
          </cell>
          <cell r="EJ68">
            <v>8122.8969164310402</v>
          </cell>
          <cell r="EK68">
            <v>6865105.4771347791</v>
          </cell>
          <cell r="EL68">
            <v>6793168</v>
          </cell>
          <cell r="EM68">
            <v>71937.477134779096</v>
          </cell>
          <cell r="EN68">
            <v>1.0589680269173249E-2</v>
          </cell>
          <cell r="EO68">
            <v>71937.477134779096</v>
          </cell>
          <cell r="EP68">
            <v>796739.85713477898</v>
          </cell>
          <cell r="EQ68">
            <v>6592375.4471347788</v>
          </cell>
          <cell r="ER68">
            <v>4809467.9721347792</v>
          </cell>
          <cell r="ES68">
            <v>9835.3128264514908</v>
          </cell>
          <cell r="ET68">
            <v>750285</v>
          </cell>
          <cell r="EU68">
            <v>83</v>
          </cell>
          <cell r="EV68">
            <v>8212.7600791497025</v>
          </cell>
          <cell r="EW68">
            <v>406</v>
          </cell>
        </row>
        <row r="69">
          <cell r="A69">
            <v>330</v>
          </cell>
          <cell r="B69" t="str">
            <v>Tyler ES</v>
          </cell>
          <cell r="C69" t="str">
            <v>ES</v>
          </cell>
          <cell r="D69">
            <v>6</v>
          </cell>
          <cell r="E69">
            <v>547</v>
          </cell>
          <cell r="F69">
            <v>0.38400000000000001</v>
          </cell>
          <cell r="G69">
            <v>210</v>
          </cell>
          <cell r="H69">
            <v>195277</v>
          </cell>
          <cell r="I69">
            <v>112569</v>
          </cell>
          <cell r="J69">
            <v>219141</v>
          </cell>
          <cell r="M69">
            <v>90879</v>
          </cell>
          <cell r="N69">
            <v>67876</v>
          </cell>
          <cell r="O69">
            <v>70895</v>
          </cell>
          <cell r="S69">
            <v>78183</v>
          </cell>
          <cell r="T69">
            <v>60194</v>
          </cell>
          <cell r="U69">
            <v>151785</v>
          </cell>
          <cell r="V69">
            <v>112569</v>
          </cell>
          <cell r="X69">
            <v>506561</v>
          </cell>
          <cell r="Z69">
            <v>450276</v>
          </cell>
          <cell r="AB69">
            <v>450276</v>
          </cell>
          <cell r="AC69">
            <v>299904</v>
          </cell>
          <cell r="AD69">
            <v>149952</v>
          </cell>
          <cell r="AE69">
            <v>2476518</v>
          </cell>
          <cell r="AG69">
            <v>112569</v>
          </cell>
          <cell r="AH69">
            <v>225138</v>
          </cell>
          <cell r="AI69">
            <v>1013121</v>
          </cell>
          <cell r="AJ69">
            <v>262416</v>
          </cell>
          <cell r="AM69">
            <v>112569</v>
          </cell>
          <cell r="AR69">
            <v>27200</v>
          </cell>
          <cell r="AS69">
            <v>3400</v>
          </cell>
          <cell r="AT69">
            <v>10200</v>
          </cell>
          <cell r="AW69">
            <v>37400</v>
          </cell>
          <cell r="AX69">
            <v>248027.79</v>
          </cell>
          <cell r="AZ69">
            <v>0</v>
          </cell>
          <cell r="BU69">
            <v>111844</v>
          </cell>
          <cell r="BY69">
            <v>4209</v>
          </cell>
          <cell r="BZ69">
            <v>3145</v>
          </cell>
          <cell r="CA69">
            <v>2735</v>
          </cell>
          <cell r="CB69">
            <v>2735</v>
          </cell>
          <cell r="CC69">
            <v>3145</v>
          </cell>
          <cell r="CD69">
            <v>10940</v>
          </cell>
          <cell r="CM69">
            <v>54700</v>
          </cell>
          <cell r="CN69">
            <v>116221</v>
          </cell>
          <cell r="CO69">
            <v>5831</v>
          </cell>
          <cell r="CV69">
            <v>13859</v>
          </cell>
          <cell r="CY69">
            <v>14575</v>
          </cell>
          <cell r="DC69">
            <v>43787</v>
          </cell>
          <cell r="DD69">
            <v>7932621.79</v>
          </cell>
          <cell r="DE69">
            <v>-13847.149999999441</v>
          </cell>
          <cell r="DF69">
            <v>7918774.6400000006</v>
          </cell>
          <cell r="DG69">
            <v>148342.76999999999</v>
          </cell>
          <cell r="DH69">
            <v>160874</v>
          </cell>
          <cell r="DI69">
            <v>7918774.6400000006</v>
          </cell>
          <cell r="DJ69">
            <v>8227991.4100000001</v>
          </cell>
          <cell r="DK69">
            <v>5402145</v>
          </cell>
          <cell r="DL69">
            <v>531619</v>
          </cell>
          <cell r="DM69">
            <v>40800</v>
          </cell>
          <cell r="DN69">
            <v>18784</v>
          </cell>
          <cell r="DO69">
            <v>472035</v>
          </cell>
          <cell r="DP69">
            <v>0.8879197319885106</v>
          </cell>
          <cell r="DQ69">
            <v>5234131</v>
          </cell>
          <cell r="DR69">
            <v>1613244</v>
          </cell>
          <cell r="DS69">
            <v>112569</v>
          </cell>
          <cell r="DT69">
            <v>285427.79000000004</v>
          </cell>
          <cell r="DU69">
            <v>0</v>
          </cell>
          <cell r="DV69">
            <v>0</v>
          </cell>
          <cell r="DW69">
            <v>0</v>
          </cell>
          <cell r="DX69">
            <v>111844</v>
          </cell>
          <cell r="DY69">
            <v>29939.850000000559</v>
          </cell>
          <cell r="DZ69">
            <v>309216.77</v>
          </cell>
          <cell r="EA69">
            <v>472035</v>
          </cell>
          <cell r="EB69">
            <v>0.8879197319885106</v>
          </cell>
          <cell r="EC69">
            <v>40800</v>
          </cell>
          <cell r="ED69">
            <v>18784</v>
          </cell>
          <cell r="EE69">
            <v>531619</v>
          </cell>
          <cell r="EF69">
            <v>8227992.2979197325</v>
          </cell>
          <cell r="EH69">
            <v>5264070.8500000006</v>
          </cell>
          <cell r="EI69">
            <v>9623.5298903107869</v>
          </cell>
          <cell r="EJ69">
            <v>9543.4805301645356</v>
          </cell>
          <cell r="EK69">
            <v>7918774.6400000006</v>
          </cell>
          <cell r="EL69">
            <v>7623730</v>
          </cell>
          <cell r="EM69">
            <v>295044.6400000006</v>
          </cell>
          <cell r="EN69">
            <v>3.8700824924282548E-2</v>
          </cell>
          <cell r="EO69">
            <v>295044.6400000006</v>
          </cell>
          <cell r="EP69">
            <v>604261.41000000015</v>
          </cell>
          <cell r="EQ69">
            <v>7633346.8500000006</v>
          </cell>
          <cell r="ER69">
            <v>5573287.620000001</v>
          </cell>
          <cell r="ES69">
            <v>10188.825630712981</v>
          </cell>
          <cell r="ET69">
            <v>1200456</v>
          </cell>
          <cell r="EU69">
            <v>129</v>
          </cell>
          <cell r="EV69">
            <v>9721.5666267942597</v>
          </cell>
          <cell r="EW69">
            <v>418</v>
          </cell>
        </row>
        <row r="70">
          <cell r="A70">
            <v>331</v>
          </cell>
          <cell r="B70" t="str">
            <v>Van Ness ES</v>
          </cell>
          <cell r="C70" t="str">
            <v>ES</v>
          </cell>
          <cell r="D70">
            <v>6</v>
          </cell>
          <cell r="E70">
            <v>366</v>
          </cell>
          <cell r="F70">
            <v>0.30099999999999999</v>
          </cell>
          <cell r="G70">
            <v>110</v>
          </cell>
          <cell r="H70">
            <v>195277</v>
          </cell>
          <cell r="I70">
            <v>112569</v>
          </cell>
          <cell r="J70">
            <v>140876</v>
          </cell>
          <cell r="M70">
            <v>90879</v>
          </cell>
          <cell r="N70">
            <v>67876</v>
          </cell>
          <cell r="S70">
            <v>78183</v>
          </cell>
          <cell r="T70">
            <v>60194</v>
          </cell>
          <cell r="U70">
            <v>101190</v>
          </cell>
          <cell r="V70">
            <v>112569</v>
          </cell>
          <cell r="W70">
            <v>112569.07</v>
          </cell>
          <cell r="X70">
            <v>337707</v>
          </cell>
          <cell r="Z70">
            <v>225138</v>
          </cell>
          <cell r="AB70">
            <v>225138</v>
          </cell>
          <cell r="AC70">
            <v>149952</v>
          </cell>
          <cell r="AD70">
            <v>112464</v>
          </cell>
          <cell r="AE70">
            <v>1801104</v>
          </cell>
          <cell r="AG70">
            <v>112569</v>
          </cell>
          <cell r="AH70">
            <v>112569</v>
          </cell>
          <cell r="AI70">
            <v>450276</v>
          </cell>
          <cell r="AK70">
            <v>55015</v>
          </cell>
          <cell r="AN70">
            <v>20262</v>
          </cell>
          <cell r="AW70">
            <v>0</v>
          </cell>
          <cell r="AX70">
            <v>65676.259999999995</v>
          </cell>
          <cell r="AZ70">
            <v>0</v>
          </cell>
          <cell r="BU70">
            <v>111844</v>
          </cell>
          <cell r="BY70">
            <v>2195</v>
          </cell>
          <cell r="BZ70">
            <v>2105</v>
          </cell>
          <cell r="CA70">
            <v>1830</v>
          </cell>
          <cell r="CB70">
            <v>1830</v>
          </cell>
          <cell r="CC70">
            <v>2105</v>
          </cell>
          <cell r="CD70">
            <v>7320</v>
          </cell>
          <cell r="CM70">
            <v>36600</v>
          </cell>
          <cell r="CN70">
            <v>73449</v>
          </cell>
          <cell r="CO70">
            <v>5061</v>
          </cell>
          <cell r="CV70">
            <v>13859</v>
          </cell>
          <cell r="CY70">
            <v>3375</v>
          </cell>
          <cell r="DC70">
            <v>0</v>
          </cell>
          <cell r="DD70">
            <v>5001625.33</v>
          </cell>
          <cell r="DE70">
            <v>-112356.30907044187</v>
          </cell>
          <cell r="DF70">
            <v>4889269.0209295582</v>
          </cell>
          <cell r="DG70">
            <v>111613.59</v>
          </cell>
          <cell r="DH70">
            <v>290266</v>
          </cell>
          <cell r="DI70">
            <v>4889269.0209295582</v>
          </cell>
          <cell r="DJ70">
            <v>5291148.6109295581</v>
          </cell>
          <cell r="DK70">
            <v>3814418.0700000003</v>
          </cell>
          <cell r="DL70">
            <v>278467</v>
          </cell>
          <cell r="DM70">
            <v>0</v>
          </cell>
          <cell r="DN70">
            <v>5570</v>
          </cell>
          <cell r="DO70">
            <v>272897</v>
          </cell>
          <cell r="DP70">
            <v>0.97999762988073991</v>
          </cell>
          <cell r="DQ70">
            <v>3794947.0700000003</v>
          </cell>
          <cell r="DR70">
            <v>730429</v>
          </cell>
          <cell r="DS70">
            <v>20262</v>
          </cell>
          <cell r="DT70">
            <v>65676.259999999995</v>
          </cell>
          <cell r="DU70">
            <v>0</v>
          </cell>
          <cell r="DV70">
            <v>0</v>
          </cell>
          <cell r="DW70">
            <v>0</v>
          </cell>
          <cell r="DX70">
            <v>111844</v>
          </cell>
          <cell r="DY70">
            <v>-112356.30907044187</v>
          </cell>
          <cell r="DZ70">
            <v>401879.58999999997</v>
          </cell>
          <cell r="EA70">
            <v>272897</v>
          </cell>
          <cell r="EB70">
            <v>0.97999762988073991</v>
          </cell>
          <cell r="EC70">
            <v>0</v>
          </cell>
          <cell r="ED70">
            <v>5570</v>
          </cell>
          <cell r="EE70">
            <v>278467</v>
          </cell>
          <cell r="EF70">
            <v>5291149.5909271883</v>
          </cell>
          <cell r="EH70">
            <v>3682590.7609295584</v>
          </cell>
          <cell r="EI70">
            <v>10061.72339051792</v>
          </cell>
          <cell r="EJ70">
            <v>10061.72339051792</v>
          </cell>
          <cell r="EK70">
            <v>4889269.0209295582</v>
          </cell>
          <cell r="EL70">
            <v>4869972</v>
          </cell>
          <cell r="EM70">
            <v>19297.020929558203</v>
          </cell>
          <cell r="EN70">
            <v>3.9624500776510013E-3</v>
          </cell>
          <cell r="EO70">
            <v>19297.020929558203</v>
          </cell>
          <cell r="EP70">
            <v>421176.61092955805</v>
          </cell>
          <cell r="EQ70">
            <v>4823592.7609295584</v>
          </cell>
          <cell r="ER70">
            <v>4084470.3509295583</v>
          </cell>
          <cell r="ES70">
            <v>11159.755057184586</v>
          </cell>
          <cell r="ET70">
            <v>600228</v>
          </cell>
          <cell r="EU70">
            <v>67</v>
          </cell>
          <cell r="EV70">
            <v>10308.905554948356</v>
          </cell>
          <cell r="EW70">
            <v>299</v>
          </cell>
        </row>
        <row r="71">
          <cell r="A71">
            <v>333</v>
          </cell>
          <cell r="B71" t="str">
            <v>Watkins ES</v>
          </cell>
          <cell r="C71" t="str">
            <v>ES</v>
          </cell>
          <cell r="D71">
            <v>6</v>
          </cell>
          <cell r="E71">
            <v>434</v>
          </cell>
          <cell r="F71">
            <v>0.28599999999999998</v>
          </cell>
          <cell r="G71">
            <v>124</v>
          </cell>
          <cell r="H71">
            <v>97638.5</v>
          </cell>
          <cell r="I71">
            <v>112569</v>
          </cell>
          <cell r="J71">
            <v>172182</v>
          </cell>
          <cell r="M71">
            <v>90879</v>
          </cell>
          <cell r="N71">
            <v>67876</v>
          </cell>
          <cell r="O71">
            <v>55703</v>
          </cell>
          <cell r="S71">
            <v>78183</v>
          </cell>
          <cell r="T71">
            <v>60194</v>
          </cell>
          <cell r="U71">
            <v>101190</v>
          </cell>
          <cell r="V71">
            <v>112569</v>
          </cell>
          <cell r="X71">
            <v>506561</v>
          </cell>
          <cell r="AE71">
            <v>2251380</v>
          </cell>
          <cell r="AG71">
            <v>112569</v>
          </cell>
          <cell r="AH71">
            <v>112569</v>
          </cell>
          <cell r="AI71">
            <v>450276</v>
          </cell>
          <cell r="AN71">
            <v>15760</v>
          </cell>
          <cell r="AW71">
            <v>0</v>
          </cell>
          <cell r="AX71">
            <v>0</v>
          </cell>
          <cell r="AY71">
            <v>10850</v>
          </cell>
          <cell r="AZ71">
            <v>0</v>
          </cell>
          <cell r="BU71">
            <v>111844</v>
          </cell>
          <cell r="BY71">
            <v>2479</v>
          </cell>
          <cell r="BZ71">
            <v>2496</v>
          </cell>
          <cell r="CA71">
            <v>2170</v>
          </cell>
          <cell r="CB71">
            <v>2170</v>
          </cell>
          <cell r="CC71">
            <v>2496</v>
          </cell>
          <cell r="CD71">
            <v>8680</v>
          </cell>
          <cell r="CM71">
            <v>43400</v>
          </cell>
          <cell r="CN71">
            <v>72375</v>
          </cell>
          <cell r="CO71">
            <v>5725</v>
          </cell>
          <cell r="CY71">
            <v>20350</v>
          </cell>
          <cell r="DC71">
            <v>112569</v>
          </cell>
          <cell r="DD71">
            <v>4795702.5</v>
          </cell>
          <cell r="DE71">
            <v>97234.831473884173</v>
          </cell>
          <cell r="DF71">
            <v>4892937.3314738842</v>
          </cell>
          <cell r="DG71">
            <v>135082.14000000001</v>
          </cell>
          <cell r="DH71">
            <v>56285</v>
          </cell>
          <cell r="DI71">
            <v>4892937.3314738842</v>
          </cell>
          <cell r="DJ71">
            <v>5084304.4714738838</v>
          </cell>
          <cell r="DK71">
            <v>3606869.5</v>
          </cell>
          <cell r="DL71">
            <v>313908.68</v>
          </cell>
          <cell r="DM71">
            <v>0</v>
          </cell>
          <cell r="DN71">
            <v>22829</v>
          </cell>
          <cell r="DO71">
            <v>291079.67999999999</v>
          </cell>
          <cell r="DP71">
            <v>0.92727502788390559</v>
          </cell>
          <cell r="DQ71">
            <v>3555356.82</v>
          </cell>
          <cell r="DR71">
            <v>675414</v>
          </cell>
          <cell r="DS71">
            <v>15760</v>
          </cell>
          <cell r="DT71">
            <v>10850</v>
          </cell>
          <cell r="DU71">
            <v>0</v>
          </cell>
          <cell r="DV71">
            <v>0</v>
          </cell>
          <cell r="DW71">
            <v>0</v>
          </cell>
          <cell r="DX71">
            <v>111844</v>
          </cell>
          <cell r="DY71">
            <v>209803.83147388417</v>
          </cell>
          <cell r="DZ71">
            <v>191367.14</v>
          </cell>
          <cell r="EA71">
            <v>291079.67999999999</v>
          </cell>
          <cell r="EB71">
            <v>0.92727502788390559</v>
          </cell>
          <cell r="EC71">
            <v>0</v>
          </cell>
          <cell r="ED71">
            <v>22829</v>
          </cell>
          <cell r="EE71">
            <v>313908.68</v>
          </cell>
          <cell r="EF71">
            <v>5084305.3987489119</v>
          </cell>
          <cell r="EH71">
            <v>3765160.651473884</v>
          </cell>
          <cell r="EI71">
            <v>8675.4853720596402</v>
          </cell>
          <cell r="EJ71">
            <v>8416.1097960227744</v>
          </cell>
          <cell r="EK71">
            <v>4892937.3314738842</v>
          </cell>
          <cell r="EL71">
            <v>4773900</v>
          </cell>
          <cell r="EM71">
            <v>119037.33147388417</v>
          </cell>
          <cell r="EN71">
            <v>2.4935028273295246E-2</v>
          </cell>
          <cell r="EO71">
            <v>119037.33147388417</v>
          </cell>
          <cell r="EP71">
            <v>310404.47147388384</v>
          </cell>
          <cell r="EQ71">
            <v>4882087.3314738842</v>
          </cell>
          <cell r="ER71">
            <v>3956527.7914738841</v>
          </cell>
          <cell r="ES71">
            <v>9116.4234826587199</v>
          </cell>
          <cell r="ET71">
            <v>0</v>
          </cell>
          <cell r="EU71">
            <v>0</v>
          </cell>
          <cell r="EV71">
            <v>8675.4853720596402</v>
          </cell>
          <cell r="EW71">
            <v>434</v>
          </cell>
        </row>
        <row r="72">
          <cell r="A72">
            <v>336</v>
          </cell>
          <cell r="B72" t="str">
            <v>West ES</v>
          </cell>
          <cell r="C72" t="str">
            <v>ES</v>
          </cell>
          <cell r="D72">
            <v>4</v>
          </cell>
          <cell r="E72">
            <v>366</v>
          </cell>
          <cell r="F72">
            <v>0.42899999999999999</v>
          </cell>
          <cell r="G72">
            <v>157</v>
          </cell>
          <cell r="H72">
            <v>195277</v>
          </cell>
          <cell r="I72">
            <v>112569</v>
          </cell>
          <cell r="J72">
            <v>140876</v>
          </cell>
          <cell r="M72">
            <v>90879</v>
          </cell>
          <cell r="N72">
            <v>67876</v>
          </cell>
          <cell r="S72">
            <v>78183</v>
          </cell>
          <cell r="T72">
            <v>60194</v>
          </cell>
          <cell r="U72">
            <v>101190</v>
          </cell>
          <cell r="V72">
            <v>112569</v>
          </cell>
          <cell r="X72">
            <v>337707</v>
          </cell>
          <cell r="Z72">
            <v>337707</v>
          </cell>
          <cell r="AB72">
            <v>337707</v>
          </cell>
          <cell r="AC72">
            <v>224928</v>
          </cell>
          <cell r="AD72">
            <v>112464</v>
          </cell>
          <cell r="AE72">
            <v>1632251</v>
          </cell>
          <cell r="AG72">
            <v>112569</v>
          </cell>
          <cell r="AH72">
            <v>112569</v>
          </cell>
          <cell r="AI72">
            <v>787983</v>
          </cell>
          <cell r="AJ72">
            <v>187440</v>
          </cell>
          <cell r="AM72">
            <v>225138</v>
          </cell>
          <cell r="AR72">
            <v>27200</v>
          </cell>
          <cell r="AS72">
            <v>3400</v>
          </cell>
          <cell r="AT72">
            <v>10200</v>
          </cell>
          <cell r="AW72">
            <v>51000</v>
          </cell>
          <cell r="AX72">
            <v>165958.29999999999</v>
          </cell>
          <cell r="AZ72">
            <v>0</v>
          </cell>
          <cell r="BU72">
            <v>111844</v>
          </cell>
          <cell r="BY72">
            <v>3139</v>
          </cell>
          <cell r="BZ72">
            <v>2105</v>
          </cell>
          <cell r="CA72">
            <v>1830</v>
          </cell>
          <cell r="CB72">
            <v>1830</v>
          </cell>
          <cell r="CC72">
            <v>2105</v>
          </cell>
          <cell r="CD72">
            <v>7320</v>
          </cell>
          <cell r="CM72">
            <v>36600</v>
          </cell>
          <cell r="CN72">
            <v>86426</v>
          </cell>
          <cell r="CO72">
            <v>5274</v>
          </cell>
          <cell r="CY72">
            <v>14025</v>
          </cell>
          <cell r="DC72">
            <v>0</v>
          </cell>
          <cell r="DD72">
            <v>5898332.2999999998</v>
          </cell>
          <cell r="DE72">
            <v>3740.5583300013095</v>
          </cell>
          <cell r="DF72">
            <v>5902072.8583300011</v>
          </cell>
          <cell r="DG72">
            <v>151273.14000000001</v>
          </cell>
          <cell r="DH72">
            <v>199407</v>
          </cell>
          <cell r="DI72">
            <v>5902072.8583300011</v>
          </cell>
          <cell r="DJ72">
            <v>6252752.9983300008</v>
          </cell>
          <cell r="DK72">
            <v>3846300</v>
          </cell>
          <cell r="DL72">
            <v>397449</v>
          </cell>
          <cell r="DM72">
            <v>40800</v>
          </cell>
          <cell r="DN72">
            <v>17164</v>
          </cell>
          <cell r="DO72">
            <v>339485</v>
          </cell>
          <cell r="DP72">
            <v>0.85415990479281623</v>
          </cell>
          <cell r="DQ72">
            <v>3746382</v>
          </cell>
          <cell r="DR72">
            <v>1200561</v>
          </cell>
          <cell r="DS72">
            <v>225138</v>
          </cell>
          <cell r="DT72">
            <v>216958.3</v>
          </cell>
          <cell r="DU72">
            <v>0</v>
          </cell>
          <cell r="DV72">
            <v>0</v>
          </cell>
          <cell r="DW72">
            <v>0</v>
          </cell>
          <cell r="DX72">
            <v>111844</v>
          </cell>
          <cell r="DY72">
            <v>3740.5583300013095</v>
          </cell>
          <cell r="DZ72">
            <v>350680.14</v>
          </cell>
          <cell r="EA72">
            <v>339485</v>
          </cell>
          <cell r="EB72">
            <v>0.85415990479281623</v>
          </cell>
          <cell r="EC72">
            <v>40800</v>
          </cell>
          <cell r="ED72">
            <v>17164</v>
          </cell>
          <cell r="EE72">
            <v>397449</v>
          </cell>
          <cell r="EF72">
            <v>6252753.8524899054</v>
          </cell>
          <cell r="EH72">
            <v>3750122.5583300013</v>
          </cell>
          <cell r="EI72">
            <v>10246.236498169403</v>
          </cell>
          <cell r="EJ72">
            <v>10246.236498169403</v>
          </cell>
          <cell r="EK72">
            <v>5902072.8583300011</v>
          </cell>
          <cell r="EL72">
            <v>5652528</v>
          </cell>
          <cell r="EM72">
            <v>249544.85833000112</v>
          </cell>
          <cell r="EN72">
            <v>4.4147478496347321E-2</v>
          </cell>
          <cell r="EO72">
            <v>249544.85833000112</v>
          </cell>
          <cell r="EP72">
            <v>600224.99833000079</v>
          </cell>
          <cell r="EQ72">
            <v>5685114.5583300013</v>
          </cell>
          <cell r="ER72">
            <v>4100802.6983300014</v>
          </cell>
          <cell r="ES72">
            <v>11204.378957185796</v>
          </cell>
          <cell r="ET72">
            <v>900342</v>
          </cell>
          <cell r="EU72">
            <v>104</v>
          </cell>
          <cell r="EV72">
            <v>10877.025031793899</v>
          </cell>
          <cell r="EW72">
            <v>262</v>
          </cell>
        </row>
        <row r="73">
          <cell r="A73">
            <v>213</v>
          </cell>
          <cell r="B73" t="str">
            <v>Brightwood EC</v>
          </cell>
          <cell r="C73" t="str">
            <v>EC</v>
          </cell>
          <cell r="D73">
            <v>4</v>
          </cell>
          <cell r="E73">
            <v>568</v>
          </cell>
          <cell r="F73">
            <v>0.433</v>
          </cell>
          <cell r="G73">
            <v>246</v>
          </cell>
          <cell r="H73">
            <v>195277</v>
          </cell>
          <cell r="I73">
            <v>112569</v>
          </cell>
          <cell r="J73">
            <v>219141</v>
          </cell>
          <cell r="M73">
            <v>90879</v>
          </cell>
          <cell r="N73">
            <v>67876</v>
          </cell>
          <cell r="O73">
            <v>70895</v>
          </cell>
          <cell r="S73">
            <v>78183</v>
          </cell>
          <cell r="T73">
            <v>60194</v>
          </cell>
          <cell r="U73">
            <v>151785</v>
          </cell>
          <cell r="V73">
            <v>112569</v>
          </cell>
          <cell r="X73">
            <v>506561</v>
          </cell>
          <cell r="Y73">
            <v>112569</v>
          </cell>
          <cell r="Z73">
            <v>337707</v>
          </cell>
          <cell r="AB73">
            <v>337707</v>
          </cell>
          <cell r="AC73">
            <v>224928</v>
          </cell>
          <cell r="AD73">
            <v>149952</v>
          </cell>
          <cell r="AE73">
            <v>2589087</v>
          </cell>
          <cell r="AG73">
            <v>112569</v>
          </cell>
          <cell r="AH73">
            <v>225138</v>
          </cell>
          <cell r="AI73">
            <v>1350828</v>
          </cell>
          <cell r="AJ73">
            <v>224928</v>
          </cell>
          <cell r="AM73">
            <v>2476518</v>
          </cell>
          <cell r="AO73">
            <v>37488</v>
          </cell>
          <cell r="AP73">
            <v>450276</v>
          </cell>
          <cell r="AR73">
            <v>27100</v>
          </cell>
          <cell r="AS73">
            <v>27100</v>
          </cell>
          <cell r="AT73">
            <v>10200</v>
          </cell>
          <cell r="AW73">
            <v>54400</v>
          </cell>
          <cell r="AX73">
            <v>180960.79</v>
          </cell>
          <cell r="AZ73">
            <v>0</v>
          </cell>
          <cell r="BU73">
            <v>167765</v>
          </cell>
          <cell r="BY73">
            <v>4925</v>
          </cell>
          <cell r="BZ73">
            <v>3266</v>
          </cell>
          <cell r="CA73">
            <v>2840</v>
          </cell>
          <cell r="CB73">
            <v>2840</v>
          </cell>
          <cell r="CC73">
            <v>3266</v>
          </cell>
          <cell r="CD73">
            <v>11360</v>
          </cell>
          <cell r="CM73">
            <v>56800</v>
          </cell>
          <cell r="CN73">
            <v>165760</v>
          </cell>
          <cell r="CO73">
            <v>4796</v>
          </cell>
          <cell r="CY73">
            <v>49400</v>
          </cell>
          <cell r="DA73">
            <v>535942</v>
          </cell>
          <cell r="DC73">
            <v>112569</v>
          </cell>
          <cell r="DD73">
            <v>11716913.789999999</v>
          </cell>
          <cell r="DE73">
            <v>219.76332999952137</v>
          </cell>
          <cell r="DF73">
            <v>11717133.553329999</v>
          </cell>
          <cell r="DG73">
            <v>182082.38</v>
          </cell>
          <cell r="DH73">
            <v>409900</v>
          </cell>
          <cell r="DI73">
            <v>11717133.553329999</v>
          </cell>
          <cell r="DJ73">
            <v>12309115.933329999</v>
          </cell>
          <cell r="DK73">
            <v>5266076</v>
          </cell>
          <cell r="DL73">
            <v>622754</v>
          </cell>
          <cell r="DM73">
            <v>64400</v>
          </cell>
          <cell r="DN73">
            <v>166894</v>
          </cell>
          <cell r="DO73">
            <v>391460</v>
          </cell>
          <cell r="DP73">
            <v>0.62859491869983974</v>
          </cell>
          <cell r="DQ73">
            <v>5164778</v>
          </cell>
          <cell r="DR73">
            <v>1913463</v>
          </cell>
          <cell r="DS73">
            <v>2964282</v>
          </cell>
          <cell r="DT73">
            <v>235360.79</v>
          </cell>
          <cell r="DU73">
            <v>0</v>
          </cell>
          <cell r="DV73">
            <v>0</v>
          </cell>
          <cell r="DW73">
            <v>535942</v>
          </cell>
          <cell r="DX73">
            <v>167765</v>
          </cell>
          <cell r="DY73">
            <v>112788.76332999952</v>
          </cell>
          <cell r="DZ73">
            <v>591982.38</v>
          </cell>
          <cell r="EA73">
            <v>391460</v>
          </cell>
          <cell r="EB73">
            <v>0.62859491869983974</v>
          </cell>
          <cell r="EC73">
            <v>64400</v>
          </cell>
          <cell r="ED73">
            <v>166894</v>
          </cell>
          <cell r="EE73">
            <v>622754</v>
          </cell>
          <cell r="EF73">
            <v>12309116.561924918</v>
          </cell>
          <cell r="EH73">
            <v>5813508.7633299995</v>
          </cell>
          <cell r="EI73">
            <v>10235.050639665493</v>
          </cell>
          <cell r="EJ73">
            <v>9093.3059213556335</v>
          </cell>
          <cell r="EK73">
            <v>11181191.553329999</v>
          </cell>
          <cell r="EL73">
            <v>12127033</v>
          </cell>
          <cell r="EM73">
            <v>-945841.44667000137</v>
          </cell>
          <cell r="EN73">
            <v>-7.7994464653473067E-2</v>
          </cell>
          <cell r="EO73">
            <v>-409899.44667000137</v>
          </cell>
          <cell r="EP73">
            <v>182082.93332999945</v>
          </cell>
          <cell r="EQ73">
            <v>11481772.76333</v>
          </cell>
          <cell r="ER73">
            <v>6405491.1433299994</v>
          </cell>
          <cell r="ES73">
            <v>11277.273139665493</v>
          </cell>
          <cell r="ET73">
            <v>900342</v>
          </cell>
          <cell r="EU73">
            <v>102</v>
          </cell>
          <cell r="EV73">
            <v>10543.276316158797</v>
          </cell>
          <cell r="EW73">
            <v>466</v>
          </cell>
        </row>
        <row r="74">
          <cell r="A74">
            <v>404</v>
          </cell>
          <cell r="B74" t="str">
            <v>Browne EC</v>
          </cell>
          <cell r="C74" t="str">
            <v>EC</v>
          </cell>
          <cell r="D74">
            <v>5</v>
          </cell>
          <cell r="E74">
            <v>436</v>
          </cell>
          <cell r="F74">
            <v>0.626</v>
          </cell>
          <cell r="G74">
            <v>273</v>
          </cell>
          <cell r="H74">
            <v>195277</v>
          </cell>
          <cell r="I74">
            <v>112569</v>
          </cell>
          <cell r="J74">
            <v>187835</v>
          </cell>
          <cell r="K74">
            <v>112569</v>
          </cell>
          <cell r="M74">
            <v>90879</v>
          </cell>
          <cell r="N74">
            <v>67876</v>
          </cell>
          <cell r="O74">
            <v>55703</v>
          </cell>
          <cell r="S74">
            <v>78183</v>
          </cell>
          <cell r="T74">
            <v>60194</v>
          </cell>
          <cell r="U74">
            <v>354165</v>
          </cell>
          <cell r="V74">
            <v>112569</v>
          </cell>
          <cell r="X74">
            <v>506561</v>
          </cell>
          <cell r="Y74">
            <v>56284</v>
          </cell>
          <cell r="AA74">
            <v>225138</v>
          </cell>
          <cell r="AB74">
            <v>225138</v>
          </cell>
          <cell r="AC74">
            <v>149952</v>
          </cell>
          <cell r="AD74">
            <v>74976</v>
          </cell>
          <cell r="AE74">
            <v>2014985</v>
          </cell>
          <cell r="AG74">
            <v>112569</v>
          </cell>
          <cell r="AH74">
            <v>225138</v>
          </cell>
          <cell r="AI74">
            <v>1125690</v>
          </cell>
          <cell r="AJ74">
            <v>224928</v>
          </cell>
          <cell r="AM74">
            <v>450276</v>
          </cell>
          <cell r="AR74">
            <v>6800</v>
          </cell>
          <cell r="AS74">
            <v>6800</v>
          </cell>
          <cell r="AT74">
            <v>10200</v>
          </cell>
          <cell r="AW74">
            <v>27200</v>
          </cell>
          <cell r="AX74">
            <v>197695.79</v>
          </cell>
          <cell r="AZ74">
            <v>0</v>
          </cell>
          <cell r="BQ74">
            <v>225138</v>
          </cell>
          <cell r="BS74">
            <v>23000</v>
          </cell>
          <cell r="BU74">
            <v>167765</v>
          </cell>
          <cell r="BV74">
            <v>100000</v>
          </cell>
          <cell r="BY74">
            <v>5469</v>
          </cell>
          <cell r="BZ74">
            <v>2956</v>
          </cell>
          <cell r="CA74">
            <v>2830</v>
          </cell>
          <cell r="CB74">
            <v>2830</v>
          </cell>
          <cell r="CC74">
            <v>3255</v>
          </cell>
          <cell r="CD74">
            <v>8720</v>
          </cell>
          <cell r="CM74">
            <v>43600</v>
          </cell>
          <cell r="CN74">
            <v>115028</v>
          </cell>
          <cell r="CO74">
            <v>10512</v>
          </cell>
          <cell r="CY74">
            <v>38625</v>
          </cell>
          <cell r="DC74">
            <v>112569</v>
          </cell>
          <cell r="DD74">
            <v>7930446.79</v>
          </cell>
          <cell r="DE74">
            <v>5013.2999999988824</v>
          </cell>
          <cell r="DF74">
            <v>7935460.0899999989</v>
          </cell>
          <cell r="DG74">
            <v>163091.60999999999</v>
          </cell>
          <cell r="DH74">
            <v>71241</v>
          </cell>
          <cell r="DI74">
            <v>7935460.0899999989</v>
          </cell>
          <cell r="DJ74">
            <v>8169792.6999999993</v>
          </cell>
          <cell r="DK74">
            <v>4669896</v>
          </cell>
          <cell r="DL74">
            <v>691105</v>
          </cell>
          <cell r="DM74">
            <v>23800</v>
          </cell>
          <cell r="DN74">
            <v>100378</v>
          </cell>
          <cell r="DO74">
            <v>566927</v>
          </cell>
          <cell r="DP74">
            <v>0.82031963305141764</v>
          </cell>
          <cell r="DQ74">
            <v>4595511</v>
          </cell>
          <cell r="DR74">
            <v>1688325</v>
          </cell>
          <cell r="DS74">
            <v>450276</v>
          </cell>
          <cell r="DT74">
            <v>224895.79</v>
          </cell>
          <cell r="DU74">
            <v>0</v>
          </cell>
          <cell r="DV74">
            <v>0</v>
          </cell>
          <cell r="DW74">
            <v>0</v>
          </cell>
          <cell r="DX74">
            <v>167765</v>
          </cell>
          <cell r="DY74">
            <v>117582.29999999888</v>
          </cell>
          <cell r="DZ74">
            <v>234332.61</v>
          </cell>
          <cell r="EA74">
            <v>566927</v>
          </cell>
          <cell r="EB74">
            <v>0.82031963305141764</v>
          </cell>
          <cell r="EC74">
            <v>23800</v>
          </cell>
          <cell r="ED74">
            <v>100378</v>
          </cell>
          <cell r="EE74">
            <v>691105</v>
          </cell>
          <cell r="EF74">
            <v>8169793.5203196323</v>
          </cell>
          <cell r="EH74">
            <v>4713093.2999999989</v>
          </cell>
          <cell r="EI74">
            <v>10809.847018348621</v>
          </cell>
          <cell r="EJ74">
            <v>10551.661238532108</v>
          </cell>
          <cell r="EK74">
            <v>7935460.0899999989</v>
          </cell>
          <cell r="EL74">
            <v>8006700</v>
          </cell>
          <cell r="EM74">
            <v>-71239.91000000108</v>
          </cell>
          <cell r="EN74">
            <v>-8.8975370627101154E-3</v>
          </cell>
          <cell r="EO74">
            <v>-71239.91000000108</v>
          </cell>
          <cell r="EP74">
            <v>163092.69999999925</v>
          </cell>
          <cell r="EQ74">
            <v>7710564.2999999989</v>
          </cell>
          <cell r="ER74">
            <v>4947425.9099999992</v>
          </cell>
          <cell r="ES74">
            <v>11347.307133027522</v>
          </cell>
          <cell r="ET74">
            <v>600228</v>
          </cell>
          <cell r="EU74">
            <v>67</v>
          </cell>
          <cell r="EV74">
            <v>11145.976422764224</v>
          </cell>
          <cell r="EW74">
            <v>369</v>
          </cell>
        </row>
        <row r="75">
          <cell r="A75">
            <v>360</v>
          </cell>
          <cell r="B75" t="str">
            <v>Capitol Hill Montessori School</v>
          </cell>
          <cell r="C75" t="str">
            <v>EC</v>
          </cell>
          <cell r="D75">
            <v>6</v>
          </cell>
          <cell r="E75">
            <v>355</v>
          </cell>
          <cell r="F75">
            <v>0.189</v>
          </cell>
          <cell r="G75">
            <v>67</v>
          </cell>
          <cell r="H75">
            <v>195277</v>
          </cell>
          <cell r="I75">
            <v>112569</v>
          </cell>
          <cell r="J75">
            <v>31306</v>
          </cell>
          <cell r="K75">
            <v>112569</v>
          </cell>
          <cell r="M75">
            <v>90879</v>
          </cell>
          <cell r="N75">
            <v>67876</v>
          </cell>
          <cell r="S75">
            <v>78183</v>
          </cell>
          <cell r="T75">
            <v>60194</v>
          </cell>
          <cell r="U75">
            <v>101190</v>
          </cell>
          <cell r="V75">
            <v>112569</v>
          </cell>
          <cell r="X75">
            <v>337707</v>
          </cell>
          <cell r="AA75">
            <v>900552</v>
          </cell>
          <cell r="AC75">
            <v>299904</v>
          </cell>
          <cell r="AD75">
            <v>74976</v>
          </cell>
          <cell r="AE75">
            <v>1598480</v>
          </cell>
          <cell r="AG75">
            <v>112569</v>
          </cell>
          <cell r="AH75">
            <v>112569</v>
          </cell>
          <cell r="AI75">
            <v>450276</v>
          </cell>
          <cell r="AM75">
            <v>112569</v>
          </cell>
          <cell r="AW75">
            <v>0</v>
          </cell>
          <cell r="AX75">
            <v>0</v>
          </cell>
          <cell r="AY75">
            <v>8875</v>
          </cell>
          <cell r="AZ75">
            <v>0</v>
          </cell>
          <cell r="BQ75">
            <v>225138</v>
          </cell>
          <cell r="BS75">
            <v>23000</v>
          </cell>
          <cell r="BU75">
            <v>167765</v>
          </cell>
          <cell r="BV75">
            <v>100000</v>
          </cell>
          <cell r="BZ75">
            <v>2286</v>
          </cell>
          <cell r="CA75">
            <v>2130</v>
          </cell>
          <cell r="CB75">
            <v>2130</v>
          </cell>
          <cell r="CC75">
            <v>2450</v>
          </cell>
          <cell r="CD75">
            <v>7100</v>
          </cell>
          <cell r="CM75">
            <v>35500</v>
          </cell>
          <cell r="CN75">
            <v>85127</v>
          </cell>
          <cell r="CO75">
            <v>4777</v>
          </cell>
          <cell r="CY75">
            <v>8550</v>
          </cell>
          <cell r="DC75">
            <v>116131</v>
          </cell>
          <cell r="DD75">
            <v>5753173</v>
          </cell>
          <cell r="DE75">
            <v>5008.5933330003172</v>
          </cell>
          <cell r="DF75">
            <v>5758181.5933330003</v>
          </cell>
          <cell r="DG75">
            <v>35038.51</v>
          </cell>
          <cell r="DH75">
            <v>0</v>
          </cell>
          <cell r="DI75">
            <v>5758181.5933330003</v>
          </cell>
          <cell r="DJ75">
            <v>5793220.1033330001</v>
          </cell>
          <cell r="DK75">
            <v>4424302</v>
          </cell>
          <cell r="DL75">
            <v>169612</v>
          </cell>
          <cell r="DM75">
            <v>0</v>
          </cell>
          <cell r="DN75">
            <v>8550</v>
          </cell>
          <cell r="DO75">
            <v>161062</v>
          </cell>
          <cell r="DP75">
            <v>0.94959083083744078</v>
          </cell>
          <cell r="DQ75">
            <v>4502807</v>
          </cell>
          <cell r="DR75">
            <v>675414</v>
          </cell>
          <cell r="DS75">
            <v>112569</v>
          </cell>
          <cell r="DT75">
            <v>8875</v>
          </cell>
          <cell r="DU75">
            <v>0</v>
          </cell>
          <cell r="DV75">
            <v>0</v>
          </cell>
          <cell r="DW75">
            <v>0</v>
          </cell>
          <cell r="DX75">
            <v>167765</v>
          </cell>
          <cell r="DY75">
            <v>121139.59333300032</v>
          </cell>
          <cell r="DZ75">
            <v>35038.51</v>
          </cell>
          <cell r="EA75">
            <v>161062</v>
          </cell>
          <cell r="EB75">
            <v>0.94959083083744078</v>
          </cell>
          <cell r="EC75">
            <v>0</v>
          </cell>
          <cell r="ED75">
            <v>8550</v>
          </cell>
          <cell r="EE75">
            <v>169612</v>
          </cell>
          <cell r="EF75">
            <v>5793221.0529238312</v>
          </cell>
          <cell r="EH75">
            <v>4623946.5933330003</v>
          </cell>
          <cell r="EI75">
            <v>13025.201671360564</v>
          </cell>
          <cell r="EJ75">
            <v>12698.072093895775</v>
          </cell>
          <cell r="EK75">
            <v>5758181.5933330003</v>
          </cell>
          <cell r="EL75">
            <v>5356472</v>
          </cell>
          <cell r="EM75">
            <v>401709.59333300032</v>
          </cell>
          <cell r="EN75">
            <v>7.4995182152170367E-2</v>
          </cell>
          <cell r="EO75">
            <v>401709.59333300032</v>
          </cell>
          <cell r="EP75">
            <v>436748.10333300009</v>
          </cell>
          <cell r="EQ75">
            <v>5749306.5933330003</v>
          </cell>
          <cell r="ER75">
            <v>4658985.1033330001</v>
          </cell>
          <cell r="ES75">
            <v>13123.901699529577</v>
          </cell>
          <cell r="ET75">
            <v>1200456</v>
          </cell>
          <cell r="EU75">
            <v>107</v>
          </cell>
          <cell r="EV75">
            <v>13804.397553762097</v>
          </cell>
          <cell r="EW75">
            <v>248</v>
          </cell>
        </row>
        <row r="76">
          <cell r="A76">
            <v>318</v>
          </cell>
          <cell r="B76" t="str">
            <v>Excel Academy</v>
          </cell>
          <cell r="C76" t="str">
            <v>EC</v>
          </cell>
          <cell r="D76">
            <v>8</v>
          </cell>
          <cell r="E76">
            <v>456</v>
          </cell>
          <cell r="F76">
            <v>0.76300000000000001</v>
          </cell>
          <cell r="G76">
            <v>348</v>
          </cell>
          <cell r="H76">
            <v>195277</v>
          </cell>
          <cell r="I76">
            <v>112569</v>
          </cell>
          <cell r="J76">
            <v>203488</v>
          </cell>
          <cell r="K76">
            <v>112569</v>
          </cell>
          <cell r="M76">
            <v>90879</v>
          </cell>
          <cell r="N76">
            <v>67876</v>
          </cell>
          <cell r="O76">
            <v>55703</v>
          </cell>
          <cell r="S76">
            <v>78183</v>
          </cell>
          <cell r="T76">
            <v>60194</v>
          </cell>
          <cell r="U76">
            <v>101190</v>
          </cell>
          <cell r="V76">
            <v>112569</v>
          </cell>
          <cell r="X76">
            <v>337707</v>
          </cell>
          <cell r="Z76">
            <v>337707</v>
          </cell>
          <cell r="AB76">
            <v>337707</v>
          </cell>
          <cell r="AC76">
            <v>224928</v>
          </cell>
          <cell r="AD76">
            <v>112464</v>
          </cell>
          <cell r="AE76">
            <v>2161325</v>
          </cell>
          <cell r="AG76">
            <v>112569</v>
          </cell>
          <cell r="AH76">
            <v>225138</v>
          </cell>
          <cell r="AI76">
            <v>900552</v>
          </cell>
          <cell r="AJ76">
            <v>149952</v>
          </cell>
          <cell r="AN76">
            <v>5628</v>
          </cell>
          <cell r="AR76">
            <v>27200</v>
          </cell>
          <cell r="AS76">
            <v>27200</v>
          </cell>
          <cell r="AT76">
            <v>10200</v>
          </cell>
          <cell r="AW76">
            <v>54400</v>
          </cell>
          <cell r="AX76">
            <v>206766.84000000003</v>
          </cell>
          <cell r="AZ76">
            <v>0</v>
          </cell>
          <cell r="BQ76">
            <v>225138</v>
          </cell>
          <cell r="BS76">
            <v>23000</v>
          </cell>
          <cell r="BU76">
            <v>111844</v>
          </cell>
          <cell r="BV76">
            <v>100000</v>
          </cell>
          <cell r="BY76">
            <v>13969</v>
          </cell>
          <cell r="BZ76">
            <v>3102</v>
          </cell>
          <cell r="CA76">
            <v>2975</v>
          </cell>
          <cell r="CB76">
            <v>2975</v>
          </cell>
          <cell r="CC76">
            <v>3421</v>
          </cell>
          <cell r="CD76">
            <v>9120</v>
          </cell>
          <cell r="CM76">
            <v>45600</v>
          </cell>
          <cell r="CN76">
            <v>103375</v>
          </cell>
          <cell r="CO76">
            <v>7099</v>
          </cell>
          <cell r="CV76">
            <v>13859</v>
          </cell>
          <cell r="CY76">
            <v>32825</v>
          </cell>
          <cell r="DB76">
            <v>112569</v>
          </cell>
          <cell r="DC76">
            <v>112569</v>
          </cell>
          <cell r="DD76">
            <v>7345380.8399999999</v>
          </cell>
          <cell r="DE76">
            <v>4498.8126761056483</v>
          </cell>
          <cell r="DF76">
            <v>7349879.6526761055</v>
          </cell>
          <cell r="DG76">
            <v>269421.68</v>
          </cell>
          <cell r="DH76">
            <v>142587</v>
          </cell>
          <cell r="DI76">
            <v>7349879.6526761055</v>
          </cell>
          <cell r="DJ76">
            <v>7761888.3326761052</v>
          </cell>
          <cell r="DK76">
            <v>4988573</v>
          </cell>
          <cell r="DL76">
            <v>880968.87</v>
          </cell>
          <cell r="DM76">
            <v>64600</v>
          </cell>
          <cell r="DN76">
            <v>46794</v>
          </cell>
          <cell r="DO76">
            <v>769574.87</v>
          </cell>
          <cell r="DP76">
            <v>0.8735551234631026</v>
          </cell>
          <cell r="DQ76">
            <v>4584993.13</v>
          </cell>
          <cell r="DR76">
            <v>1388211</v>
          </cell>
          <cell r="DS76">
            <v>5628</v>
          </cell>
          <cell r="DT76">
            <v>261166.84000000003</v>
          </cell>
          <cell r="DU76">
            <v>0</v>
          </cell>
          <cell r="DV76">
            <v>0</v>
          </cell>
          <cell r="DW76">
            <v>0</v>
          </cell>
          <cell r="DX76">
            <v>111844</v>
          </cell>
          <cell r="DY76">
            <v>117067.81267610565</v>
          </cell>
          <cell r="DZ76">
            <v>412008.68</v>
          </cell>
          <cell r="EA76">
            <v>769574.87</v>
          </cell>
          <cell r="EB76">
            <v>0.8735551234631026</v>
          </cell>
          <cell r="EC76">
            <v>64600</v>
          </cell>
          <cell r="ED76">
            <v>46794</v>
          </cell>
          <cell r="EE76">
            <v>880968.87</v>
          </cell>
          <cell r="EF76">
            <v>7761889.206231229</v>
          </cell>
          <cell r="EH76">
            <v>4702060.9426761055</v>
          </cell>
          <cell r="EI76">
            <v>10311.53715499146</v>
          </cell>
          <cell r="EJ76">
            <v>9817.8134707809331</v>
          </cell>
          <cell r="EK76">
            <v>7349879.6526761055</v>
          </cell>
          <cell r="EL76">
            <v>7379898</v>
          </cell>
          <cell r="EM76">
            <v>-30018.347323894501</v>
          </cell>
          <cell r="EN76">
            <v>-4.067582956281306E-3</v>
          </cell>
          <cell r="EO76">
            <v>-30018.347323894501</v>
          </cell>
          <cell r="EP76">
            <v>381990.3326761052</v>
          </cell>
          <cell r="EQ76">
            <v>7088712.8126761056</v>
          </cell>
          <cell r="ER76">
            <v>5114069.6226761052</v>
          </cell>
          <cell r="ES76">
            <v>11215.064962009003</v>
          </cell>
          <cell r="ET76">
            <v>900342</v>
          </cell>
          <cell r="EU76">
            <v>78</v>
          </cell>
          <cell r="EV76">
            <v>10057.457520307158</v>
          </cell>
          <cell r="EW76">
            <v>378</v>
          </cell>
        </row>
        <row r="77">
          <cell r="A77">
            <v>264</v>
          </cell>
          <cell r="B77" t="str">
            <v>LaSalle-Backus EC</v>
          </cell>
          <cell r="C77" t="str">
            <v>EC</v>
          </cell>
          <cell r="D77">
            <v>4</v>
          </cell>
          <cell r="E77">
            <v>252</v>
          </cell>
          <cell r="F77">
            <v>0.47599999999999998</v>
          </cell>
          <cell r="G77">
            <v>120</v>
          </cell>
          <cell r="H77">
            <v>195277</v>
          </cell>
          <cell r="I77">
            <v>112569</v>
          </cell>
          <cell r="M77">
            <v>45440</v>
          </cell>
          <cell r="N77">
            <v>67876</v>
          </cell>
          <cell r="S77">
            <v>78183</v>
          </cell>
          <cell r="T77">
            <v>60194</v>
          </cell>
          <cell r="U77">
            <v>50595</v>
          </cell>
          <cell r="V77">
            <v>56285</v>
          </cell>
          <cell r="X77">
            <v>337707</v>
          </cell>
          <cell r="Z77">
            <v>112569</v>
          </cell>
          <cell r="AA77">
            <v>225138</v>
          </cell>
          <cell r="AB77">
            <v>112569</v>
          </cell>
          <cell r="AC77">
            <v>149952</v>
          </cell>
          <cell r="AD77">
            <v>74976</v>
          </cell>
          <cell r="AE77">
            <v>1350828</v>
          </cell>
          <cell r="AG77">
            <v>112569</v>
          </cell>
          <cell r="AH77">
            <v>337707</v>
          </cell>
          <cell r="AI77">
            <v>675414</v>
          </cell>
          <cell r="AJ77">
            <v>74976</v>
          </cell>
          <cell r="AK77">
            <v>110030</v>
          </cell>
          <cell r="AM77">
            <v>787983</v>
          </cell>
          <cell r="AP77">
            <v>112569</v>
          </cell>
          <cell r="AR77">
            <v>13600</v>
          </cell>
          <cell r="AS77">
            <v>13600</v>
          </cell>
          <cell r="AT77">
            <v>10200</v>
          </cell>
          <cell r="AW77">
            <v>40800</v>
          </cell>
          <cell r="AX77">
            <v>114263.54000000001</v>
          </cell>
          <cell r="AZ77">
            <v>0</v>
          </cell>
          <cell r="BU77">
            <v>111844</v>
          </cell>
          <cell r="BY77">
            <v>2407</v>
          </cell>
          <cell r="BZ77">
            <v>1449</v>
          </cell>
          <cell r="CA77">
            <v>1260</v>
          </cell>
          <cell r="CB77">
            <v>1260</v>
          </cell>
          <cell r="CC77">
            <v>1449</v>
          </cell>
          <cell r="CD77">
            <v>5040</v>
          </cell>
          <cell r="CM77">
            <v>25200</v>
          </cell>
          <cell r="CN77">
            <v>84387</v>
          </cell>
          <cell r="CO77">
            <v>4441</v>
          </cell>
          <cell r="CY77">
            <v>24475</v>
          </cell>
          <cell r="DA77">
            <v>1190574</v>
          </cell>
          <cell r="DC77">
            <v>0</v>
          </cell>
          <cell r="DD77">
            <v>6887655.54</v>
          </cell>
          <cell r="DE77">
            <v>8.5633299993351102</v>
          </cell>
          <cell r="DF77">
            <v>6887664.1033299994</v>
          </cell>
          <cell r="DG77">
            <v>86818.25</v>
          </cell>
          <cell r="DH77">
            <v>295643</v>
          </cell>
          <cell r="DI77">
            <v>6887664.1033299994</v>
          </cell>
          <cell r="DJ77">
            <v>7270125.3533299994</v>
          </cell>
          <cell r="DK77">
            <v>2965672</v>
          </cell>
          <cell r="DL77">
            <v>303782</v>
          </cell>
          <cell r="DM77">
            <v>37400</v>
          </cell>
          <cell r="DN77">
            <v>26882</v>
          </cell>
          <cell r="DO77">
            <v>239500</v>
          </cell>
          <cell r="DP77">
            <v>0.78839430907690389</v>
          </cell>
          <cell r="DQ77">
            <v>2915144</v>
          </cell>
          <cell r="DR77">
            <v>1310696</v>
          </cell>
          <cell r="DS77">
            <v>900552</v>
          </cell>
          <cell r="DT77">
            <v>155063.54</v>
          </cell>
          <cell r="DU77">
            <v>0</v>
          </cell>
          <cell r="DV77">
            <v>0</v>
          </cell>
          <cell r="DW77">
            <v>1190574</v>
          </cell>
          <cell r="DX77">
            <v>111844</v>
          </cell>
          <cell r="DY77">
            <v>8.5633299993351102</v>
          </cell>
          <cell r="DZ77">
            <v>382461.25</v>
          </cell>
          <cell r="EA77">
            <v>239500</v>
          </cell>
          <cell r="EB77">
            <v>0.78839430907690389</v>
          </cell>
          <cell r="EC77">
            <v>37400</v>
          </cell>
          <cell r="ED77">
            <v>26882</v>
          </cell>
          <cell r="EE77">
            <v>303782</v>
          </cell>
          <cell r="EF77">
            <v>7270126.141724308</v>
          </cell>
          <cell r="EH77">
            <v>4105726.5633299993</v>
          </cell>
          <cell r="EI77">
            <v>16292.565727499998</v>
          </cell>
          <cell r="EJ77">
            <v>11568.065727499998</v>
          </cell>
          <cell r="EK77">
            <v>5697090.1033299994</v>
          </cell>
          <cell r="EL77">
            <v>7183308</v>
          </cell>
          <cell r="EM77">
            <v>-1486217.8966700006</v>
          </cell>
          <cell r="EN77">
            <v>-0.20689881272945565</v>
          </cell>
          <cell r="EO77">
            <v>-295643.89667000063</v>
          </cell>
          <cell r="EP77">
            <v>86817.353329999372</v>
          </cell>
          <cell r="EQ77">
            <v>6732600.5633299993</v>
          </cell>
          <cell r="ER77">
            <v>4488187.8133299993</v>
          </cell>
          <cell r="ES77">
            <v>17810.26910051587</v>
          </cell>
          <cell r="ET77">
            <v>600228</v>
          </cell>
          <cell r="EU77">
            <v>59</v>
          </cell>
          <cell r="EV77">
            <v>18163.204991347146</v>
          </cell>
          <cell r="EW77">
            <v>193</v>
          </cell>
        </row>
        <row r="78">
          <cell r="A78">
            <v>266</v>
          </cell>
          <cell r="B78" t="str">
            <v>Leckie EC</v>
          </cell>
          <cell r="C78" t="str">
            <v>EC</v>
          </cell>
          <cell r="D78">
            <v>8</v>
          </cell>
          <cell r="E78">
            <v>487</v>
          </cell>
          <cell r="F78">
            <v>0.52400000000000002</v>
          </cell>
          <cell r="G78">
            <v>255</v>
          </cell>
          <cell r="H78">
            <v>195277</v>
          </cell>
          <cell r="I78">
            <v>112569</v>
          </cell>
          <cell r="J78">
            <v>203488</v>
          </cell>
          <cell r="K78">
            <v>112569</v>
          </cell>
          <cell r="M78">
            <v>90879</v>
          </cell>
          <cell r="N78">
            <v>67876</v>
          </cell>
          <cell r="O78">
            <v>60767</v>
          </cell>
          <cell r="S78">
            <v>78183</v>
          </cell>
          <cell r="T78">
            <v>60194</v>
          </cell>
          <cell r="U78">
            <v>101190</v>
          </cell>
          <cell r="V78">
            <v>112569</v>
          </cell>
          <cell r="X78">
            <v>337707</v>
          </cell>
          <cell r="Z78">
            <v>337707</v>
          </cell>
          <cell r="AB78">
            <v>337707</v>
          </cell>
          <cell r="AC78">
            <v>224928</v>
          </cell>
          <cell r="AD78">
            <v>112464</v>
          </cell>
          <cell r="AE78">
            <v>2206352</v>
          </cell>
          <cell r="AG78">
            <v>112569</v>
          </cell>
          <cell r="AH78">
            <v>225138</v>
          </cell>
          <cell r="AI78">
            <v>900552</v>
          </cell>
          <cell r="AJ78">
            <v>74976</v>
          </cell>
          <cell r="AM78">
            <v>112569</v>
          </cell>
          <cell r="AR78">
            <v>27200</v>
          </cell>
          <cell r="AS78">
            <v>27200</v>
          </cell>
          <cell r="AT78">
            <v>10200</v>
          </cell>
          <cell r="AW78">
            <v>54400</v>
          </cell>
          <cell r="AX78">
            <v>220820.83000000002</v>
          </cell>
          <cell r="AZ78">
            <v>0</v>
          </cell>
          <cell r="BQ78">
            <v>225138</v>
          </cell>
          <cell r="BS78">
            <v>23000</v>
          </cell>
          <cell r="BU78">
            <v>167765</v>
          </cell>
          <cell r="BV78">
            <v>100000</v>
          </cell>
          <cell r="BY78">
            <v>5105</v>
          </cell>
          <cell r="BZ78">
            <v>3221</v>
          </cell>
          <cell r="CA78">
            <v>3045</v>
          </cell>
          <cell r="CB78">
            <v>3045</v>
          </cell>
          <cell r="CC78">
            <v>3502</v>
          </cell>
          <cell r="CD78">
            <v>9740</v>
          </cell>
          <cell r="CM78">
            <v>48700</v>
          </cell>
          <cell r="CN78">
            <v>104704</v>
          </cell>
          <cell r="CO78">
            <v>5185</v>
          </cell>
          <cell r="CY78">
            <v>44625</v>
          </cell>
          <cell r="DA78">
            <v>13714</v>
          </cell>
          <cell r="DC78">
            <v>156529</v>
          </cell>
          <cell r="DD78">
            <v>7435068.8300000001</v>
          </cell>
          <cell r="DE78">
            <v>5012.269999999553</v>
          </cell>
          <cell r="DF78">
            <v>7440081.0999999996</v>
          </cell>
          <cell r="DG78">
            <v>157992.4</v>
          </cell>
          <cell r="DH78">
            <v>90879</v>
          </cell>
          <cell r="DI78">
            <v>7440081.0999999996</v>
          </cell>
          <cell r="DJ78">
            <v>7688952.5</v>
          </cell>
          <cell r="DK78">
            <v>5042139</v>
          </cell>
          <cell r="DL78">
            <v>645538</v>
          </cell>
          <cell r="DM78">
            <v>64600</v>
          </cell>
          <cell r="DN78">
            <v>49730</v>
          </cell>
          <cell r="DO78">
            <v>531208</v>
          </cell>
          <cell r="DP78">
            <v>0.82289191341175882</v>
          </cell>
          <cell r="DQ78">
            <v>4750498</v>
          </cell>
          <cell r="DR78">
            <v>1313235</v>
          </cell>
          <cell r="DS78">
            <v>112569</v>
          </cell>
          <cell r="DT78">
            <v>275220.83</v>
          </cell>
          <cell r="DU78">
            <v>0</v>
          </cell>
          <cell r="DV78">
            <v>0</v>
          </cell>
          <cell r="DW78">
            <v>13714</v>
          </cell>
          <cell r="DX78">
            <v>167765</v>
          </cell>
          <cell r="DY78">
            <v>161541.26999999955</v>
          </cell>
          <cell r="DZ78">
            <v>248871.4</v>
          </cell>
          <cell r="EA78">
            <v>531208</v>
          </cell>
          <cell r="EB78">
            <v>0.82289191341175882</v>
          </cell>
          <cell r="EC78">
            <v>64600</v>
          </cell>
          <cell r="ED78">
            <v>49730</v>
          </cell>
          <cell r="EE78">
            <v>645538</v>
          </cell>
          <cell r="EF78">
            <v>7688953.3228919134</v>
          </cell>
          <cell r="EH78">
            <v>4925753.2699999996</v>
          </cell>
          <cell r="EI78">
            <v>10114.483100616015</v>
          </cell>
          <cell r="EJ78">
            <v>9764.9081519507181</v>
          </cell>
          <cell r="EK78">
            <v>7426367.0999999996</v>
          </cell>
          <cell r="EL78">
            <v>7493738</v>
          </cell>
          <cell r="EM78">
            <v>-67370.900000000373</v>
          </cell>
          <cell r="EN78">
            <v>-8.9902929619370704E-3</v>
          </cell>
          <cell r="EO78">
            <v>-53656.900000000373</v>
          </cell>
          <cell r="EP78">
            <v>195214.5</v>
          </cell>
          <cell r="EQ78">
            <v>7164860.2699999996</v>
          </cell>
          <cell r="ER78">
            <v>5174624.67</v>
          </cell>
          <cell r="ES78">
            <v>10625.512669404518</v>
          </cell>
          <cell r="ET78">
            <v>900342</v>
          </cell>
          <cell r="EU78">
            <v>91</v>
          </cell>
          <cell r="EV78">
            <v>10165.179974747474</v>
          </cell>
          <cell r="EW78">
            <v>396</v>
          </cell>
        </row>
        <row r="79">
          <cell r="A79">
            <v>292</v>
          </cell>
          <cell r="B79" t="str">
            <v>Oyster-Adams Bilingual School</v>
          </cell>
          <cell r="C79" t="str">
            <v>EC</v>
          </cell>
          <cell r="D79">
            <v>3</v>
          </cell>
          <cell r="E79">
            <v>761</v>
          </cell>
          <cell r="F79">
            <v>0.112</v>
          </cell>
          <cell r="G79">
            <v>85</v>
          </cell>
          <cell r="H79">
            <v>195277</v>
          </cell>
          <cell r="I79">
            <v>225138</v>
          </cell>
          <cell r="J79">
            <v>328711</v>
          </cell>
          <cell r="K79">
            <v>112569</v>
          </cell>
          <cell r="M79">
            <v>90879</v>
          </cell>
          <cell r="N79">
            <v>67876</v>
          </cell>
          <cell r="O79">
            <v>96214</v>
          </cell>
          <cell r="S79">
            <v>156366</v>
          </cell>
          <cell r="T79">
            <v>60194</v>
          </cell>
          <cell r="U79">
            <v>202380</v>
          </cell>
          <cell r="V79">
            <v>225138</v>
          </cell>
          <cell r="X79">
            <v>619130</v>
          </cell>
          <cell r="Y79">
            <v>112569</v>
          </cell>
          <cell r="AB79">
            <v>225138</v>
          </cell>
          <cell r="AC79">
            <v>74976</v>
          </cell>
          <cell r="AD79">
            <v>149952</v>
          </cell>
          <cell r="AE79">
            <v>3962429</v>
          </cell>
          <cell r="AG79">
            <v>112569</v>
          </cell>
          <cell r="AH79">
            <v>225138</v>
          </cell>
          <cell r="AI79">
            <v>787983</v>
          </cell>
          <cell r="AM79">
            <v>1013121</v>
          </cell>
          <cell r="AP79">
            <v>225138</v>
          </cell>
          <cell r="AW79">
            <v>0</v>
          </cell>
          <cell r="AX79">
            <v>0</v>
          </cell>
          <cell r="AY79">
            <v>19025</v>
          </cell>
          <cell r="AZ79">
            <v>0</v>
          </cell>
          <cell r="BQ79">
            <v>225138</v>
          </cell>
          <cell r="BS79">
            <v>23000</v>
          </cell>
          <cell r="BU79">
            <v>167765</v>
          </cell>
          <cell r="BV79">
            <v>100000</v>
          </cell>
          <cell r="BZ79">
            <v>5138</v>
          </cell>
          <cell r="CA79">
            <v>4910</v>
          </cell>
          <cell r="CB79">
            <v>4910</v>
          </cell>
          <cell r="CC79">
            <v>5647</v>
          </cell>
          <cell r="CD79">
            <v>15220</v>
          </cell>
          <cell r="CM79">
            <v>76100</v>
          </cell>
          <cell r="CN79">
            <v>154464</v>
          </cell>
          <cell r="CO79">
            <v>8099</v>
          </cell>
          <cell r="CU79">
            <v>500000</v>
          </cell>
          <cell r="CY79">
            <v>7175</v>
          </cell>
          <cell r="DC79">
            <v>337707</v>
          </cell>
          <cell r="DD79">
            <v>10923183</v>
          </cell>
          <cell r="DE79">
            <v>5018.4199999999255</v>
          </cell>
          <cell r="DF79">
            <v>10928201.42</v>
          </cell>
          <cell r="DG79">
            <v>90210.68</v>
          </cell>
          <cell r="DH79">
            <v>168854</v>
          </cell>
          <cell r="DI79">
            <v>10928201.42</v>
          </cell>
          <cell r="DJ79">
            <v>11187266.1</v>
          </cell>
          <cell r="DK79">
            <v>6996053</v>
          </cell>
          <cell r="DL79">
            <v>215179</v>
          </cell>
          <cell r="DM79">
            <v>0</v>
          </cell>
          <cell r="DN79">
            <v>119744</v>
          </cell>
          <cell r="DO79">
            <v>95435</v>
          </cell>
          <cell r="DP79">
            <v>0.44351446934877475</v>
          </cell>
          <cell r="DQ79">
            <v>7319558</v>
          </cell>
          <cell r="DR79">
            <v>1125690</v>
          </cell>
          <cell r="DS79">
            <v>1238259</v>
          </cell>
          <cell r="DT79">
            <v>19025</v>
          </cell>
          <cell r="DU79">
            <v>500000</v>
          </cell>
          <cell r="DV79">
            <v>0</v>
          </cell>
          <cell r="DW79">
            <v>0</v>
          </cell>
          <cell r="DX79">
            <v>167765</v>
          </cell>
          <cell r="DY79">
            <v>342725.41999999993</v>
          </cell>
          <cell r="DZ79">
            <v>259064.68</v>
          </cell>
          <cell r="EA79">
            <v>95435</v>
          </cell>
          <cell r="EB79">
            <v>0.44351446934877475</v>
          </cell>
          <cell r="EC79">
            <v>0</v>
          </cell>
          <cell r="ED79">
            <v>119744</v>
          </cell>
          <cell r="EE79">
            <v>215179</v>
          </cell>
          <cell r="EF79">
            <v>11187266.54351447</v>
          </cell>
          <cell r="EH79">
            <v>8162283.4199999999</v>
          </cell>
          <cell r="EI79">
            <v>10725.733797634692</v>
          </cell>
          <cell r="EJ79">
            <v>10281.966386333772</v>
          </cell>
          <cell r="EK79">
            <v>10928201.42</v>
          </cell>
          <cell r="EL79">
            <v>10782487</v>
          </cell>
          <cell r="EM79">
            <v>145714.41999999993</v>
          </cell>
          <cell r="EN79">
            <v>1.3513989861522665E-2</v>
          </cell>
          <cell r="EO79">
            <v>145714.41999999993</v>
          </cell>
          <cell r="EP79">
            <v>404779.09999999963</v>
          </cell>
          <cell r="EQ79">
            <v>10909176.42</v>
          </cell>
          <cell r="ER79">
            <v>8421348.0999999996</v>
          </cell>
          <cell r="ES79">
            <v>11066.160446780552</v>
          </cell>
          <cell r="ET79">
            <v>300114</v>
          </cell>
          <cell r="EU79">
            <v>39</v>
          </cell>
          <cell r="EV79">
            <v>10889.431329639889</v>
          </cell>
          <cell r="EW79">
            <v>722</v>
          </cell>
        </row>
        <row r="80">
          <cell r="A80">
            <v>409</v>
          </cell>
          <cell r="B80" t="str">
            <v>School Without Walls @ Francis-Stevens</v>
          </cell>
          <cell r="C80" t="str">
            <v>EC</v>
          </cell>
          <cell r="D80">
            <v>2</v>
          </cell>
          <cell r="E80">
            <v>600</v>
          </cell>
          <cell r="F80">
            <v>0.26</v>
          </cell>
          <cell r="G80">
            <v>156</v>
          </cell>
          <cell r="H80">
            <v>195277</v>
          </cell>
          <cell r="I80">
            <v>112569</v>
          </cell>
          <cell r="J80">
            <v>422628</v>
          </cell>
          <cell r="K80">
            <v>112569</v>
          </cell>
          <cell r="M80">
            <v>90879</v>
          </cell>
          <cell r="N80">
            <v>67876</v>
          </cell>
          <cell r="O80">
            <v>75959</v>
          </cell>
          <cell r="S80">
            <v>78183</v>
          </cell>
          <cell r="T80">
            <v>60194</v>
          </cell>
          <cell r="U80">
            <v>151785</v>
          </cell>
          <cell r="V80">
            <v>112569</v>
          </cell>
          <cell r="X80">
            <v>337707</v>
          </cell>
          <cell r="Z80">
            <v>225138</v>
          </cell>
          <cell r="AA80">
            <v>112569</v>
          </cell>
          <cell r="AB80">
            <v>225138</v>
          </cell>
          <cell r="AC80">
            <v>187440</v>
          </cell>
          <cell r="AD80">
            <v>74976</v>
          </cell>
          <cell r="AE80">
            <v>2825482</v>
          </cell>
          <cell r="AG80">
            <v>112569</v>
          </cell>
          <cell r="AH80">
            <v>225138</v>
          </cell>
          <cell r="AI80">
            <v>1125690</v>
          </cell>
          <cell r="AJ80">
            <v>187440</v>
          </cell>
          <cell r="AL80">
            <v>117087</v>
          </cell>
          <cell r="AM80">
            <v>562845</v>
          </cell>
          <cell r="AP80">
            <v>112569</v>
          </cell>
          <cell r="AW80">
            <v>0</v>
          </cell>
          <cell r="AX80">
            <v>0</v>
          </cell>
          <cell r="AY80">
            <v>15000</v>
          </cell>
          <cell r="AZ80">
            <v>0</v>
          </cell>
          <cell r="BQ80">
            <v>225138</v>
          </cell>
          <cell r="BS80">
            <v>23000</v>
          </cell>
          <cell r="BU80">
            <v>111844</v>
          </cell>
          <cell r="BV80">
            <v>100000</v>
          </cell>
          <cell r="BY80">
            <v>3117</v>
          </cell>
          <cell r="BZ80">
            <v>4444</v>
          </cell>
          <cell r="CA80">
            <v>4440</v>
          </cell>
          <cell r="CB80">
            <v>4440</v>
          </cell>
          <cell r="CC80">
            <v>5106</v>
          </cell>
          <cell r="CD80">
            <v>12000</v>
          </cell>
          <cell r="CM80">
            <v>60000</v>
          </cell>
          <cell r="CN80">
            <v>130207</v>
          </cell>
          <cell r="CO80">
            <v>8017</v>
          </cell>
          <cell r="CY80">
            <v>24750</v>
          </cell>
          <cell r="DC80">
            <v>150057</v>
          </cell>
          <cell r="DD80">
            <v>8793836</v>
          </cell>
          <cell r="DE80">
            <v>-145043.43332999945</v>
          </cell>
          <cell r="DF80">
            <v>8648792.5666700006</v>
          </cell>
          <cell r="DG80">
            <v>103443.92</v>
          </cell>
          <cell r="DH80">
            <v>112569</v>
          </cell>
          <cell r="DI80">
            <v>8648792.5666700006</v>
          </cell>
          <cell r="DJ80">
            <v>8864805.4866700005</v>
          </cell>
          <cell r="DK80">
            <v>5755568</v>
          </cell>
          <cell r="DL80">
            <v>394917</v>
          </cell>
          <cell r="DM80">
            <v>0</v>
          </cell>
          <cell r="DN80">
            <v>27867</v>
          </cell>
          <cell r="DO80">
            <v>367050</v>
          </cell>
          <cell r="DP80">
            <v>0.92943580549837057</v>
          </cell>
          <cell r="DQ80">
            <v>5678680</v>
          </cell>
          <cell r="DR80">
            <v>1767924</v>
          </cell>
          <cell r="DS80">
            <v>675414</v>
          </cell>
          <cell r="DT80">
            <v>15000</v>
          </cell>
          <cell r="DU80">
            <v>0</v>
          </cell>
          <cell r="DV80">
            <v>0</v>
          </cell>
          <cell r="DW80">
            <v>0</v>
          </cell>
          <cell r="DX80">
            <v>111844</v>
          </cell>
          <cell r="DY80">
            <v>5013.5666700005531</v>
          </cell>
          <cell r="DZ80">
            <v>216012.91999999998</v>
          </cell>
          <cell r="EA80">
            <v>367050</v>
          </cell>
          <cell r="EB80">
            <v>0.92943580549837057</v>
          </cell>
          <cell r="EC80">
            <v>0</v>
          </cell>
          <cell r="ED80">
            <v>27867</v>
          </cell>
          <cell r="EE80">
            <v>394917</v>
          </cell>
          <cell r="EF80">
            <v>8864806.4161058068</v>
          </cell>
          <cell r="EH80">
            <v>5683693.5666700006</v>
          </cell>
          <cell r="EI80">
            <v>9472.8226111166678</v>
          </cell>
          <cell r="EJ80">
            <v>9222.7276111166684</v>
          </cell>
          <cell r="EK80">
            <v>8648792.5666700006</v>
          </cell>
          <cell r="EL80">
            <v>8203990</v>
          </cell>
          <cell r="EM80">
            <v>444802.56667000055</v>
          </cell>
          <cell r="EN80">
            <v>5.4217833843044731E-2</v>
          </cell>
          <cell r="EO80">
            <v>444802.56667000055</v>
          </cell>
          <cell r="EP80">
            <v>660815.48667000048</v>
          </cell>
          <cell r="EQ80">
            <v>8633792.5666700006</v>
          </cell>
          <cell r="ER80">
            <v>5899706.4866700005</v>
          </cell>
          <cell r="ES80">
            <v>9832.8441444500004</v>
          </cell>
          <cell r="ET80">
            <v>750285</v>
          </cell>
          <cell r="EU80">
            <v>76</v>
          </cell>
          <cell r="EV80">
            <v>9414.901844790078</v>
          </cell>
          <cell r="EW80">
            <v>524</v>
          </cell>
        </row>
        <row r="81">
          <cell r="A81">
            <v>324</v>
          </cell>
          <cell r="B81" t="str">
            <v>Takoma EC</v>
          </cell>
          <cell r="C81" t="str">
            <v>EC</v>
          </cell>
          <cell r="D81">
            <v>4</v>
          </cell>
          <cell r="E81">
            <v>423</v>
          </cell>
          <cell r="F81">
            <v>0.40200000000000002</v>
          </cell>
          <cell r="G81">
            <v>170</v>
          </cell>
          <cell r="H81">
            <v>195277</v>
          </cell>
          <cell r="I81">
            <v>112569</v>
          </cell>
          <cell r="J81">
            <v>172182</v>
          </cell>
          <cell r="M81">
            <v>90879</v>
          </cell>
          <cell r="N81">
            <v>67876</v>
          </cell>
          <cell r="O81">
            <v>55703</v>
          </cell>
          <cell r="S81">
            <v>78183</v>
          </cell>
          <cell r="T81">
            <v>60194</v>
          </cell>
          <cell r="U81">
            <v>151785</v>
          </cell>
          <cell r="V81">
            <v>112569</v>
          </cell>
          <cell r="X81">
            <v>506561</v>
          </cell>
          <cell r="Z81">
            <v>225138</v>
          </cell>
          <cell r="AA81">
            <v>225138</v>
          </cell>
          <cell r="AB81">
            <v>225138</v>
          </cell>
          <cell r="AC81">
            <v>224928</v>
          </cell>
          <cell r="AD81">
            <v>112464</v>
          </cell>
          <cell r="AE81">
            <v>1913673</v>
          </cell>
          <cell r="AG81">
            <v>112569</v>
          </cell>
          <cell r="AH81">
            <v>225138</v>
          </cell>
          <cell r="AI81">
            <v>900552</v>
          </cell>
          <cell r="AJ81">
            <v>299904</v>
          </cell>
          <cell r="AL81">
            <v>117087</v>
          </cell>
          <cell r="AM81">
            <v>900552</v>
          </cell>
          <cell r="AP81">
            <v>112569</v>
          </cell>
          <cell r="AR81">
            <v>34000</v>
          </cell>
          <cell r="AS81">
            <v>40800</v>
          </cell>
          <cell r="AW81">
            <v>74800</v>
          </cell>
          <cell r="AX81">
            <v>191803.36000000002</v>
          </cell>
          <cell r="AZ81">
            <v>0</v>
          </cell>
          <cell r="BU81">
            <v>111844</v>
          </cell>
          <cell r="BY81">
            <v>3400</v>
          </cell>
          <cell r="BZ81">
            <v>2432</v>
          </cell>
          <cell r="CA81">
            <v>2115</v>
          </cell>
          <cell r="CB81">
            <v>2115</v>
          </cell>
          <cell r="CC81">
            <v>2432</v>
          </cell>
          <cell r="CD81">
            <v>8460</v>
          </cell>
          <cell r="CM81">
            <v>42300</v>
          </cell>
          <cell r="CN81">
            <v>115898</v>
          </cell>
          <cell r="CO81">
            <v>8049</v>
          </cell>
          <cell r="CY81">
            <v>38675</v>
          </cell>
          <cell r="DA81">
            <v>616926</v>
          </cell>
          <cell r="DC81">
            <v>10200</v>
          </cell>
          <cell r="DD81">
            <v>8504877.3599999994</v>
          </cell>
          <cell r="DE81">
            <v>13.263329999521375</v>
          </cell>
          <cell r="DF81">
            <v>8504890.6233299989</v>
          </cell>
          <cell r="DG81">
            <v>113972.82</v>
          </cell>
          <cell r="DH81">
            <v>378024</v>
          </cell>
          <cell r="DI81">
            <v>8504890.6233299989</v>
          </cell>
          <cell r="DJ81">
            <v>8996887.4433299992</v>
          </cell>
          <cell r="DK81">
            <v>4423896</v>
          </cell>
          <cell r="DL81">
            <v>430358</v>
          </cell>
          <cell r="DM81">
            <v>74800</v>
          </cell>
          <cell r="DN81">
            <v>42075</v>
          </cell>
          <cell r="DO81">
            <v>313483</v>
          </cell>
          <cell r="DP81">
            <v>0.72842377741322339</v>
          </cell>
          <cell r="DQ81">
            <v>4400575</v>
          </cell>
          <cell r="DR81">
            <v>1655250</v>
          </cell>
          <cell r="DS81">
            <v>1013121</v>
          </cell>
          <cell r="DT81">
            <v>266603.36</v>
          </cell>
          <cell r="DU81">
            <v>0</v>
          </cell>
          <cell r="DV81">
            <v>0</v>
          </cell>
          <cell r="DW81">
            <v>616926</v>
          </cell>
          <cell r="DX81">
            <v>111844</v>
          </cell>
          <cell r="DY81">
            <v>10213.263329999521</v>
          </cell>
          <cell r="DZ81">
            <v>491996.82</v>
          </cell>
          <cell r="EA81">
            <v>313483</v>
          </cell>
          <cell r="EB81">
            <v>0.72842377741322339</v>
          </cell>
          <cell r="EC81">
            <v>74800</v>
          </cell>
          <cell r="ED81">
            <v>42075</v>
          </cell>
          <cell r="EE81">
            <v>430358</v>
          </cell>
          <cell r="EF81">
            <v>8996888.1717537772</v>
          </cell>
          <cell r="EH81">
            <v>5027714.2633299995</v>
          </cell>
          <cell r="EI81">
            <v>11885.849322293143</v>
          </cell>
          <cell r="EJ81">
            <v>10403.281946406618</v>
          </cell>
          <cell r="EK81">
            <v>7887964.6233299989</v>
          </cell>
          <cell r="EL81">
            <v>8882914</v>
          </cell>
          <cell r="EM81">
            <v>-994949.37667000107</v>
          </cell>
          <cell r="EN81">
            <v>-0.11200709324327592</v>
          </cell>
          <cell r="EO81">
            <v>-378023.37667000107</v>
          </cell>
          <cell r="EP81">
            <v>113973.44332999922</v>
          </cell>
          <cell r="EQ81">
            <v>8238287.2633299986</v>
          </cell>
          <cell r="ER81">
            <v>5519711.0833299998</v>
          </cell>
          <cell r="ES81">
            <v>13048.962371938534</v>
          </cell>
          <cell r="ET81">
            <v>900342</v>
          </cell>
          <cell r="EU81">
            <v>96</v>
          </cell>
          <cell r="EV81">
            <v>12621.933527003057</v>
          </cell>
          <cell r="EW81">
            <v>327</v>
          </cell>
        </row>
        <row r="82">
          <cell r="A82">
            <v>332</v>
          </cell>
          <cell r="B82" t="str">
            <v>Walker-Jones EC</v>
          </cell>
          <cell r="C82" t="str">
            <v>EC</v>
          </cell>
          <cell r="D82">
            <v>6</v>
          </cell>
          <cell r="E82">
            <v>400</v>
          </cell>
          <cell r="F82">
            <v>0.73299999999999998</v>
          </cell>
          <cell r="G82">
            <v>293</v>
          </cell>
          <cell r="H82">
            <v>195277</v>
          </cell>
          <cell r="I82">
            <v>112569</v>
          </cell>
          <cell r="J82">
            <v>62612</v>
          </cell>
          <cell r="K82">
            <v>112569</v>
          </cell>
          <cell r="M82">
            <v>90879</v>
          </cell>
          <cell r="N82">
            <v>67876</v>
          </cell>
          <cell r="O82">
            <v>50639</v>
          </cell>
          <cell r="S82">
            <v>78183</v>
          </cell>
          <cell r="T82">
            <v>60194</v>
          </cell>
          <cell r="U82">
            <v>151785</v>
          </cell>
          <cell r="V82">
            <v>112569</v>
          </cell>
          <cell r="W82">
            <v>112569.07</v>
          </cell>
          <cell r="X82">
            <v>337707</v>
          </cell>
          <cell r="Z82">
            <v>225138</v>
          </cell>
          <cell r="AB82">
            <v>225138</v>
          </cell>
          <cell r="AC82">
            <v>149952</v>
          </cell>
          <cell r="AD82">
            <v>74976</v>
          </cell>
          <cell r="AE82">
            <v>1789847</v>
          </cell>
          <cell r="AG82">
            <v>112569</v>
          </cell>
          <cell r="AH82">
            <v>225138</v>
          </cell>
          <cell r="AI82">
            <v>1125690</v>
          </cell>
          <cell r="AJ82">
            <v>299904</v>
          </cell>
          <cell r="AL82">
            <v>117087</v>
          </cell>
          <cell r="AM82">
            <v>112569</v>
          </cell>
          <cell r="AR82">
            <v>27200</v>
          </cell>
          <cell r="AS82">
            <v>3400</v>
          </cell>
          <cell r="AT82">
            <v>10200</v>
          </cell>
          <cell r="AW82">
            <v>51000</v>
          </cell>
          <cell r="AX82">
            <v>181371.87</v>
          </cell>
          <cell r="AZ82">
            <v>0</v>
          </cell>
          <cell r="BQ82">
            <v>225138</v>
          </cell>
          <cell r="BS82">
            <v>23000</v>
          </cell>
          <cell r="BU82">
            <v>244046</v>
          </cell>
          <cell r="BV82">
            <v>100000</v>
          </cell>
          <cell r="BY82">
            <v>5879</v>
          </cell>
          <cell r="BZ82">
            <v>2742</v>
          </cell>
          <cell r="CA82">
            <v>2640</v>
          </cell>
          <cell r="CB82">
            <v>2640</v>
          </cell>
          <cell r="CC82">
            <v>3036</v>
          </cell>
          <cell r="CD82">
            <v>8000</v>
          </cell>
          <cell r="CM82">
            <v>40000</v>
          </cell>
          <cell r="CN82">
            <v>100078</v>
          </cell>
          <cell r="CO82">
            <v>5433</v>
          </cell>
          <cell r="CY82">
            <v>26125</v>
          </cell>
          <cell r="DC82">
            <v>0</v>
          </cell>
          <cell r="DD82">
            <v>7065364.9400000004</v>
          </cell>
          <cell r="DE82">
            <v>-107558.86333000008</v>
          </cell>
          <cell r="DF82">
            <v>6957806.0766700003</v>
          </cell>
          <cell r="DG82">
            <v>212734.14</v>
          </cell>
          <cell r="DH82">
            <v>225138</v>
          </cell>
          <cell r="DI82">
            <v>6957806.0766700003</v>
          </cell>
          <cell r="DJ82">
            <v>7395678.21667</v>
          </cell>
          <cell r="DK82">
            <v>4233024.07</v>
          </cell>
          <cell r="DL82">
            <v>741734.91999999993</v>
          </cell>
          <cell r="DM82">
            <v>40800</v>
          </cell>
          <cell r="DN82">
            <v>32004</v>
          </cell>
          <cell r="DO82">
            <v>668930.91999999993</v>
          </cell>
          <cell r="DP82">
            <v>0.90184633615470067</v>
          </cell>
          <cell r="DQ82">
            <v>3854255.1500000004</v>
          </cell>
          <cell r="DR82">
            <v>1880388</v>
          </cell>
          <cell r="DS82">
            <v>112569</v>
          </cell>
          <cell r="DT82">
            <v>232371.87</v>
          </cell>
          <cell r="DU82">
            <v>0</v>
          </cell>
          <cell r="DV82">
            <v>0</v>
          </cell>
          <cell r="DW82">
            <v>0</v>
          </cell>
          <cell r="DX82">
            <v>244046</v>
          </cell>
          <cell r="DY82">
            <v>-107558.86333000008</v>
          </cell>
          <cell r="DZ82">
            <v>437872.14</v>
          </cell>
          <cell r="EA82">
            <v>668930.91999999993</v>
          </cell>
          <cell r="EB82">
            <v>0.90184633615470067</v>
          </cell>
          <cell r="EC82">
            <v>40800</v>
          </cell>
          <cell r="ED82">
            <v>32004</v>
          </cell>
          <cell r="EE82">
            <v>741734.91999999993</v>
          </cell>
          <cell r="EF82">
            <v>7395679.1185163362</v>
          </cell>
          <cell r="EH82">
            <v>3746696.2866700003</v>
          </cell>
          <cell r="EI82">
            <v>9366.7407166749999</v>
          </cell>
          <cell r="EJ82">
            <v>9366.7407166749999</v>
          </cell>
          <cell r="EK82">
            <v>6957806.0766700003</v>
          </cell>
          <cell r="EL82">
            <v>6944139</v>
          </cell>
          <cell r="EM82">
            <v>13667.07667000033</v>
          </cell>
          <cell r="EN82">
            <v>1.9681456073964432E-3</v>
          </cell>
          <cell r="EO82">
            <v>13667.07667000033</v>
          </cell>
          <cell r="EP82">
            <v>451539.21666999999</v>
          </cell>
          <cell r="EQ82">
            <v>6725434.2066700002</v>
          </cell>
          <cell r="ER82">
            <v>4184568.4266700004</v>
          </cell>
          <cell r="ES82">
            <v>10461.421066675</v>
          </cell>
          <cell r="ET82">
            <v>600228</v>
          </cell>
          <cell r="EU82">
            <v>62</v>
          </cell>
          <cell r="EV82">
            <v>9309.0777712130184</v>
          </cell>
          <cell r="EW82">
            <v>338</v>
          </cell>
        </row>
        <row r="83">
          <cell r="A83">
            <v>335</v>
          </cell>
          <cell r="B83" t="str">
            <v>Wheatley EC</v>
          </cell>
          <cell r="C83" t="str">
            <v>EC</v>
          </cell>
          <cell r="D83">
            <v>5</v>
          </cell>
          <cell r="E83">
            <v>321</v>
          </cell>
          <cell r="F83">
            <v>0.68799999999999994</v>
          </cell>
          <cell r="G83">
            <v>221</v>
          </cell>
          <cell r="H83">
            <v>195277</v>
          </cell>
          <cell r="I83">
            <v>112569</v>
          </cell>
          <cell r="J83">
            <v>46959</v>
          </cell>
          <cell r="K83">
            <v>112569</v>
          </cell>
          <cell r="M83">
            <v>90879</v>
          </cell>
          <cell r="N83">
            <v>67876</v>
          </cell>
          <cell r="S83">
            <v>78183</v>
          </cell>
          <cell r="T83">
            <v>60194</v>
          </cell>
          <cell r="U83">
            <v>101190</v>
          </cell>
          <cell r="V83">
            <v>112569</v>
          </cell>
          <cell r="W83">
            <v>112569.07</v>
          </cell>
          <cell r="X83">
            <v>337707</v>
          </cell>
          <cell r="Y83">
            <v>112569</v>
          </cell>
          <cell r="Z83">
            <v>225138</v>
          </cell>
          <cell r="AA83">
            <v>112569</v>
          </cell>
          <cell r="AB83">
            <v>225138</v>
          </cell>
          <cell r="AC83">
            <v>187440</v>
          </cell>
          <cell r="AD83">
            <v>74976</v>
          </cell>
          <cell r="AE83">
            <v>1542195</v>
          </cell>
          <cell r="AG83">
            <v>112569</v>
          </cell>
          <cell r="AH83">
            <v>112569</v>
          </cell>
          <cell r="AI83">
            <v>1125690</v>
          </cell>
          <cell r="AJ83">
            <v>112464</v>
          </cell>
          <cell r="AM83">
            <v>112569</v>
          </cell>
          <cell r="AR83">
            <v>8500</v>
          </cell>
          <cell r="AS83">
            <v>8500</v>
          </cell>
          <cell r="AT83">
            <v>10200</v>
          </cell>
          <cell r="AW83">
            <v>37400</v>
          </cell>
          <cell r="AX83">
            <v>145550.91</v>
          </cell>
          <cell r="AZ83">
            <v>0</v>
          </cell>
          <cell r="BQ83">
            <v>225138</v>
          </cell>
          <cell r="BS83">
            <v>23000</v>
          </cell>
          <cell r="BU83">
            <v>244046</v>
          </cell>
          <cell r="BV83">
            <v>100000</v>
          </cell>
          <cell r="BY83">
            <v>4420</v>
          </cell>
          <cell r="BZ83">
            <v>2122</v>
          </cell>
          <cell r="CA83">
            <v>2005</v>
          </cell>
          <cell r="CB83">
            <v>2005</v>
          </cell>
          <cell r="CC83">
            <v>2306</v>
          </cell>
          <cell r="CD83">
            <v>6420</v>
          </cell>
          <cell r="CM83">
            <v>32100</v>
          </cell>
          <cell r="CN83">
            <v>92325</v>
          </cell>
          <cell r="CO83">
            <v>5255</v>
          </cell>
          <cell r="CY83">
            <v>24050</v>
          </cell>
          <cell r="DA83">
            <v>87377</v>
          </cell>
          <cell r="DC83">
            <v>225138</v>
          </cell>
          <cell r="DD83">
            <v>6772284.9800000004</v>
          </cell>
          <cell r="DE83">
            <v>-108162.10500000045</v>
          </cell>
          <cell r="DF83">
            <v>6664122.875</v>
          </cell>
          <cell r="DG83">
            <v>184030.85</v>
          </cell>
          <cell r="DH83">
            <v>225138</v>
          </cell>
          <cell r="DI83">
            <v>6664122.875</v>
          </cell>
          <cell r="DJ83">
            <v>7073291.7249999996</v>
          </cell>
          <cell r="DK83">
            <v>4049106.0700000003</v>
          </cell>
          <cell r="DL83">
            <v>559465</v>
          </cell>
          <cell r="DM83">
            <v>27200</v>
          </cell>
          <cell r="DN83">
            <v>141039</v>
          </cell>
          <cell r="DO83">
            <v>391226</v>
          </cell>
          <cell r="DP83">
            <v>0.69928592494615394</v>
          </cell>
          <cell r="DQ83">
            <v>3897447.0700000003</v>
          </cell>
          <cell r="DR83">
            <v>1463292</v>
          </cell>
          <cell r="DS83">
            <v>112569</v>
          </cell>
          <cell r="DT83">
            <v>182950.91</v>
          </cell>
          <cell r="DU83">
            <v>0</v>
          </cell>
          <cell r="DV83">
            <v>0</v>
          </cell>
          <cell r="DW83">
            <v>87377</v>
          </cell>
          <cell r="DX83">
            <v>244046</v>
          </cell>
          <cell r="DY83">
            <v>116975.89499999955</v>
          </cell>
          <cell r="DZ83">
            <v>409168.85</v>
          </cell>
          <cell r="EA83">
            <v>391226</v>
          </cell>
          <cell r="EB83">
            <v>0.69928592494615394</v>
          </cell>
          <cell r="EC83">
            <v>27200</v>
          </cell>
          <cell r="ED83">
            <v>141039</v>
          </cell>
          <cell r="EE83">
            <v>559465</v>
          </cell>
          <cell r="EF83">
            <v>7073292.424285925</v>
          </cell>
          <cell r="EH83">
            <v>4101799.9649999999</v>
          </cell>
          <cell r="EI83">
            <v>12778.193037383176</v>
          </cell>
          <cell r="EJ83">
            <v>11804.62605919003</v>
          </cell>
          <cell r="EK83">
            <v>6576745.875</v>
          </cell>
          <cell r="EL83">
            <v>6612965</v>
          </cell>
          <cell r="EM83">
            <v>-36219.125</v>
          </cell>
          <cell r="EN83">
            <v>-5.4769872515581138E-3</v>
          </cell>
          <cell r="EO83">
            <v>51157.875</v>
          </cell>
          <cell r="EP83">
            <v>460326.72499999963</v>
          </cell>
          <cell r="EQ83">
            <v>6481171.9649999999</v>
          </cell>
          <cell r="ER83">
            <v>4510968.8149999995</v>
          </cell>
          <cell r="ES83">
            <v>14052.86235202492</v>
          </cell>
          <cell r="ET83">
            <v>750285</v>
          </cell>
          <cell r="EU83">
            <v>65</v>
          </cell>
          <cell r="EV83">
            <v>13091.855332031249</v>
          </cell>
          <cell r="EW83">
            <v>256</v>
          </cell>
        </row>
        <row r="84">
          <cell r="A84">
            <v>338</v>
          </cell>
          <cell r="B84" t="str">
            <v>Whittier EC</v>
          </cell>
          <cell r="C84" t="str">
            <v>EC</v>
          </cell>
          <cell r="D84">
            <v>4</v>
          </cell>
          <cell r="E84">
            <v>307</v>
          </cell>
          <cell r="F84">
            <v>0.56000000000000005</v>
          </cell>
          <cell r="G84">
            <v>172</v>
          </cell>
          <cell r="H84">
            <v>195277</v>
          </cell>
          <cell r="I84">
            <v>112569</v>
          </cell>
          <cell r="J84">
            <v>125223</v>
          </cell>
          <cell r="M84">
            <v>90879</v>
          </cell>
          <cell r="N84">
            <v>67876</v>
          </cell>
          <cell r="S84">
            <v>78183</v>
          </cell>
          <cell r="T84">
            <v>60194</v>
          </cell>
          <cell r="U84">
            <v>101190</v>
          </cell>
          <cell r="V84">
            <v>112569</v>
          </cell>
          <cell r="X84">
            <v>337707</v>
          </cell>
          <cell r="Z84">
            <v>112569</v>
          </cell>
          <cell r="AA84">
            <v>225138</v>
          </cell>
          <cell r="AB84">
            <v>112569</v>
          </cell>
          <cell r="AC84">
            <v>149952</v>
          </cell>
          <cell r="AD84">
            <v>74976</v>
          </cell>
          <cell r="AE84">
            <v>1350828</v>
          </cell>
          <cell r="AG84">
            <v>112569</v>
          </cell>
          <cell r="AH84">
            <v>225138</v>
          </cell>
          <cell r="AI84">
            <v>1238259</v>
          </cell>
          <cell r="AJ84">
            <v>374880</v>
          </cell>
          <cell r="AM84">
            <v>450276</v>
          </cell>
          <cell r="AR84">
            <v>27200</v>
          </cell>
          <cell r="AS84">
            <v>3400</v>
          </cell>
          <cell r="AT84">
            <v>10200</v>
          </cell>
          <cell r="AW84">
            <v>51000</v>
          </cell>
          <cell r="AX84">
            <v>97810.36</v>
          </cell>
          <cell r="AZ84">
            <v>0</v>
          </cell>
          <cell r="BU84">
            <v>55922</v>
          </cell>
          <cell r="BY84">
            <v>3442</v>
          </cell>
          <cell r="BZ84">
            <v>1765</v>
          </cell>
          <cell r="CA84">
            <v>1535</v>
          </cell>
          <cell r="CB84">
            <v>1535</v>
          </cell>
          <cell r="CC84">
            <v>1765</v>
          </cell>
          <cell r="CD84">
            <v>6140</v>
          </cell>
          <cell r="CM84">
            <v>30700</v>
          </cell>
          <cell r="CN84">
            <v>91309</v>
          </cell>
          <cell r="CO84">
            <v>4422</v>
          </cell>
          <cell r="CY84">
            <v>6650</v>
          </cell>
          <cell r="DA84">
            <v>827811</v>
          </cell>
          <cell r="DC84">
            <v>0</v>
          </cell>
          <cell r="DD84">
            <v>6931427.3600000003</v>
          </cell>
          <cell r="DE84">
            <v>614.63999999966472</v>
          </cell>
          <cell r="DF84">
            <v>6932042</v>
          </cell>
          <cell r="DG84">
            <v>143150.71</v>
          </cell>
          <cell r="DH84">
            <v>331661</v>
          </cell>
          <cell r="DI84">
            <v>6932042</v>
          </cell>
          <cell r="DJ84">
            <v>7406853.71</v>
          </cell>
          <cell r="DK84">
            <v>3207303</v>
          </cell>
          <cell r="DL84">
            <v>435421</v>
          </cell>
          <cell r="DM84">
            <v>40800</v>
          </cell>
          <cell r="DN84">
            <v>10092</v>
          </cell>
          <cell r="DO84">
            <v>384529</v>
          </cell>
          <cell r="DP84">
            <v>0.88312001488214853</v>
          </cell>
          <cell r="DQ84">
            <v>3062341</v>
          </cell>
          <cell r="DR84">
            <v>1950846</v>
          </cell>
          <cell r="DS84">
            <v>450276</v>
          </cell>
          <cell r="DT84">
            <v>148810.35999999999</v>
          </cell>
          <cell r="DU84">
            <v>0</v>
          </cell>
          <cell r="DV84">
            <v>0</v>
          </cell>
          <cell r="DW84">
            <v>827811</v>
          </cell>
          <cell r="DX84">
            <v>55922</v>
          </cell>
          <cell r="DY84">
            <v>614.63999999966472</v>
          </cell>
          <cell r="DZ84">
            <v>474811.70999999996</v>
          </cell>
          <cell r="EA84">
            <v>384529</v>
          </cell>
          <cell r="EB84">
            <v>0.88312001488214853</v>
          </cell>
          <cell r="EC84">
            <v>40800</v>
          </cell>
          <cell r="ED84">
            <v>10092</v>
          </cell>
          <cell r="EE84">
            <v>435421</v>
          </cell>
          <cell r="EF84">
            <v>7406854.5931200152</v>
          </cell>
          <cell r="EH84">
            <v>3890766.6399999997</v>
          </cell>
          <cell r="EI84">
            <v>12673.506970684039</v>
          </cell>
          <cell r="EJ84">
            <v>9977.0542019543955</v>
          </cell>
          <cell r="EK84">
            <v>6104231</v>
          </cell>
          <cell r="EL84">
            <v>7263703</v>
          </cell>
          <cell r="EM84">
            <v>-1159472</v>
          </cell>
          <cell r="EN84">
            <v>-0.1596254692682231</v>
          </cell>
          <cell r="EO84">
            <v>-331661</v>
          </cell>
          <cell r="EP84">
            <v>143150.70999999996</v>
          </cell>
          <cell r="EQ84">
            <v>6783231.6399999997</v>
          </cell>
          <cell r="ER84">
            <v>4365578.3499999996</v>
          </cell>
          <cell r="ES84">
            <v>14220.124918566775</v>
          </cell>
          <cell r="ET84">
            <v>600228</v>
          </cell>
          <cell r="EU84">
            <v>66</v>
          </cell>
          <cell r="EV84">
            <v>13653.687302904564</v>
          </cell>
          <cell r="EW84">
            <v>241</v>
          </cell>
        </row>
        <row r="85">
          <cell r="A85">
            <v>347</v>
          </cell>
          <cell r="B85" t="str">
            <v>Brookland MS</v>
          </cell>
          <cell r="C85" t="str">
            <v>MS</v>
          </cell>
          <cell r="D85">
            <v>5</v>
          </cell>
          <cell r="E85">
            <v>359</v>
          </cell>
          <cell r="F85">
            <v>0.52400000000000002</v>
          </cell>
          <cell r="G85">
            <v>188</v>
          </cell>
          <cell r="H85">
            <v>195277</v>
          </cell>
          <cell r="I85">
            <v>112569</v>
          </cell>
          <cell r="J85">
            <v>187835</v>
          </cell>
          <cell r="K85">
            <v>112569</v>
          </cell>
          <cell r="M85">
            <v>90879</v>
          </cell>
          <cell r="N85">
            <v>67876</v>
          </cell>
          <cell r="S85">
            <v>78183</v>
          </cell>
          <cell r="T85">
            <v>60194</v>
          </cell>
          <cell r="U85">
            <v>151785</v>
          </cell>
          <cell r="V85">
            <v>112569</v>
          </cell>
          <cell r="AE85">
            <v>1823618</v>
          </cell>
          <cell r="AG85">
            <v>112569</v>
          </cell>
          <cell r="AH85">
            <v>225138</v>
          </cell>
          <cell r="AI85">
            <v>1013121</v>
          </cell>
          <cell r="AJ85">
            <v>149952</v>
          </cell>
          <cell r="AM85">
            <v>225138</v>
          </cell>
          <cell r="AW85">
            <v>0</v>
          </cell>
          <cell r="AX85">
            <v>162781.54999999999</v>
          </cell>
          <cell r="AZ85">
            <v>0</v>
          </cell>
          <cell r="BB85">
            <v>112569</v>
          </cell>
          <cell r="BQ85">
            <v>337707</v>
          </cell>
          <cell r="BS85">
            <v>23000</v>
          </cell>
          <cell r="BU85">
            <v>244046</v>
          </cell>
          <cell r="BV85">
            <v>100000</v>
          </cell>
          <cell r="BY85">
            <v>3763</v>
          </cell>
          <cell r="BZ85">
            <v>3303</v>
          </cell>
          <cell r="CA85">
            <v>3590</v>
          </cell>
          <cell r="CB85">
            <v>3590</v>
          </cell>
          <cell r="CC85">
            <v>4129</v>
          </cell>
          <cell r="CD85">
            <v>7180</v>
          </cell>
          <cell r="CM85">
            <v>35900</v>
          </cell>
          <cell r="CN85">
            <v>84840</v>
          </cell>
          <cell r="CO85">
            <v>6573</v>
          </cell>
          <cell r="CU85">
            <v>200000</v>
          </cell>
          <cell r="CY85">
            <v>39975</v>
          </cell>
          <cell r="DA85">
            <v>57932</v>
          </cell>
          <cell r="DC85">
            <v>0</v>
          </cell>
          <cell r="DD85">
            <v>6150150.5499999998</v>
          </cell>
          <cell r="DE85">
            <v>5008.7566700000316</v>
          </cell>
          <cell r="DF85">
            <v>6155159.3066699998</v>
          </cell>
          <cell r="DG85">
            <v>118097.72</v>
          </cell>
          <cell r="DH85">
            <v>128046</v>
          </cell>
          <cell r="DI85">
            <v>6155159.3066699998</v>
          </cell>
          <cell r="DJ85">
            <v>6401303.0266699996</v>
          </cell>
          <cell r="DK85">
            <v>3313004</v>
          </cell>
          <cell r="DL85">
            <v>475926</v>
          </cell>
          <cell r="DM85">
            <v>0</v>
          </cell>
          <cell r="DN85">
            <v>43738</v>
          </cell>
          <cell r="DO85">
            <v>432188</v>
          </cell>
          <cell r="DP85">
            <v>0.90809915827250454</v>
          </cell>
          <cell r="DQ85">
            <v>3283547</v>
          </cell>
          <cell r="DR85">
            <v>1500780</v>
          </cell>
          <cell r="DS85">
            <v>225138</v>
          </cell>
          <cell r="DT85">
            <v>162781.54999999999</v>
          </cell>
          <cell r="DU85">
            <v>200000</v>
          </cell>
          <cell r="DV85">
            <v>0</v>
          </cell>
          <cell r="DW85">
            <v>57932</v>
          </cell>
          <cell r="DX85">
            <v>244046</v>
          </cell>
          <cell r="DY85">
            <v>5008.7566700000316</v>
          </cell>
          <cell r="DZ85">
            <v>246143.72</v>
          </cell>
          <cell r="EA85">
            <v>432188</v>
          </cell>
          <cell r="EB85">
            <v>0.90809915827250454</v>
          </cell>
          <cell r="EC85">
            <v>0</v>
          </cell>
          <cell r="ED85">
            <v>43738</v>
          </cell>
          <cell r="EE85">
            <v>475926</v>
          </cell>
          <cell r="EF85">
            <v>6401303.9347691583</v>
          </cell>
          <cell r="EH85">
            <v>3546487.75667</v>
          </cell>
          <cell r="EI85">
            <v>9878.7959795821735</v>
          </cell>
          <cell r="EJ85">
            <v>9717.4255060445685</v>
          </cell>
          <cell r="EK85">
            <v>6097227.3066699998</v>
          </cell>
          <cell r="EL85">
            <v>6283206</v>
          </cell>
          <cell r="EM85">
            <v>-185978.69333000015</v>
          </cell>
          <cell r="EN85">
            <v>-2.9599330871851116E-2</v>
          </cell>
          <cell r="EO85">
            <v>-128046.69333000015</v>
          </cell>
          <cell r="EP85">
            <v>118097.02666999958</v>
          </cell>
          <cell r="EQ85">
            <v>5992377.75667</v>
          </cell>
          <cell r="ER85">
            <v>3792631.4766700002</v>
          </cell>
          <cell r="ES85">
            <v>10564.433082646241</v>
          </cell>
          <cell r="ET85">
            <v>0</v>
          </cell>
          <cell r="EU85">
            <v>0</v>
          </cell>
          <cell r="EV85">
            <v>9878.7959795821735</v>
          </cell>
          <cell r="EW85">
            <v>359</v>
          </cell>
        </row>
        <row r="86">
          <cell r="A86">
            <v>405</v>
          </cell>
          <cell r="B86" t="str">
            <v>Deal MS</v>
          </cell>
          <cell r="C86" t="str">
            <v>MS</v>
          </cell>
          <cell r="D86">
            <v>3</v>
          </cell>
          <cell r="E86">
            <v>1466</v>
          </cell>
          <cell r="F86">
            <v>0.111</v>
          </cell>
          <cell r="G86">
            <v>163</v>
          </cell>
          <cell r="H86">
            <v>195277</v>
          </cell>
          <cell r="I86">
            <v>112569</v>
          </cell>
          <cell r="J86">
            <v>766992</v>
          </cell>
          <cell r="K86">
            <v>416505</v>
          </cell>
          <cell r="M86">
            <v>90879</v>
          </cell>
          <cell r="N86">
            <v>67876</v>
          </cell>
          <cell r="O86">
            <v>187364</v>
          </cell>
          <cell r="S86">
            <v>78183</v>
          </cell>
          <cell r="T86">
            <v>60194</v>
          </cell>
          <cell r="U86">
            <v>354165</v>
          </cell>
          <cell r="V86">
            <v>112569</v>
          </cell>
          <cell r="W86">
            <v>112569.07</v>
          </cell>
          <cell r="AE86">
            <v>7497095</v>
          </cell>
          <cell r="AG86">
            <v>225138</v>
          </cell>
          <cell r="AH86">
            <v>337707</v>
          </cell>
          <cell r="AI86">
            <v>1913673</v>
          </cell>
          <cell r="AJ86">
            <v>112464</v>
          </cell>
          <cell r="AM86">
            <v>675414</v>
          </cell>
          <cell r="AP86">
            <v>112569</v>
          </cell>
          <cell r="AW86">
            <v>0</v>
          </cell>
          <cell r="AX86">
            <v>0</v>
          </cell>
          <cell r="AY86">
            <v>36650</v>
          </cell>
          <cell r="AZ86">
            <v>0</v>
          </cell>
          <cell r="BA86">
            <v>117087</v>
          </cell>
          <cell r="BQ86">
            <v>337707</v>
          </cell>
          <cell r="BS86">
            <v>23000</v>
          </cell>
          <cell r="BU86">
            <v>391452</v>
          </cell>
          <cell r="BV86">
            <v>100000</v>
          </cell>
          <cell r="BZ86">
            <v>13487</v>
          </cell>
          <cell r="CA86">
            <v>14660</v>
          </cell>
          <cell r="CB86">
            <v>14660</v>
          </cell>
          <cell r="CC86">
            <v>16859</v>
          </cell>
          <cell r="CD86">
            <v>29320</v>
          </cell>
          <cell r="CM86">
            <v>146600</v>
          </cell>
          <cell r="CN86">
            <v>223330</v>
          </cell>
          <cell r="CO86">
            <v>10330</v>
          </cell>
          <cell r="CT86">
            <v>471160</v>
          </cell>
          <cell r="CW86">
            <v>15087</v>
          </cell>
          <cell r="CY86">
            <v>32175</v>
          </cell>
          <cell r="DA86">
            <v>170905</v>
          </cell>
          <cell r="DB86">
            <v>337707</v>
          </cell>
          <cell r="DC86">
            <v>284671</v>
          </cell>
          <cell r="DD86">
            <v>16216049.07</v>
          </cell>
          <cell r="DE86">
            <v>-107540.703329999</v>
          </cell>
          <cell r="DF86">
            <v>16108508.366670001</v>
          </cell>
          <cell r="DG86">
            <v>191587.37</v>
          </cell>
          <cell r="DH86">
            <v>369037</v>
          </cell>
          <cell r="DI86">
            <v>16108508.366670001</v>
          </cell>
          <cell r="DJ86">
            <v>16669132.73667</v>
          </cell>
          <cell r="DK86">
            <v>10489648.07</v>
          </cell>
          <cell r="DL86">
            <v>412638</v>
          </cell>
          <cell r="DM86">
            <v>0</v>
          </cell>
          <cell r="DN86">
            <v>32175</v>
          </cell>
          <cell r="DO86">
            <v>380463</v>
          </cell>
          <cell r="DP86">
            <v>0.92202608581856249</v>
          </cell>
          <cell r="DQ86">
            <v>11071608.07</v>
          </cell>
          <cell r="DR86">
            <v>2588982</v>
          </cell>
          <cell r="DS86">
            <v>787983</v>
          </cell>
          <cell r="DT86">
            <v>36650</v>
          </cell>
          <cell r="DU86">
            <v>0</v>
          </cell>
          <cell r="DV86">
            <v>471160</v>
          </cell>
          <cell r="DW86">
            <v>170905</v>
          </cell>
          <cell r="DX86">
            <v>391452</v>
          </cell>
          <cell r="DY86">
            <v>177130.296670001</v>
          </cell>
          <cell r="DZ86">
            <v>560624.37</v>
          </cell>
          <cell r="EA86">
            <v>380463</v>
          </cell>
          <cell r="EB86">
            <v>0.92202608581856249</v>
          </cell>
          <cell r="EC86">
            <v>0</v>
          </cell>
          <cell r="ED86">
            <v>32175</v>
          </cell>
          <cell r="EE86">
            <v>412638</v>
          </cell>
          <cell r="EF86">
            <v>16669133.658696087</v>
          </cell>
          <cell r="EH86">
            <v>11890803.366670001</v>
          </cell>
          <cell r="EI86">
            <v>8111.052773990451</v>
          </cell>
          <cell r="EJ86">
            <v>7569.9320372919519</v>
          </cell>
          <cell r="EK86">
            <v>15937603.366670001</v>
          </cell>
          <cell r="EL86">
            <v>16299939</v>
          </cell>
          <cell r="EM86">
            <v>-362335.6333299987</v>
          </cell>
          <cell r="EN86">
            <v>-2.2229263148162624E-2</v>
          </cell>
          <cell r="EO86">
            <v>-191430.6333299987</v>
          </cell>
          <cell r="EP86">
            <v>369193.73667000048</v>
          </cell>
          <cell r="EQ86">
            <v>16071858.366670001</v>
          </cell>
          <cell r="ER86">
            <v>12451427.73667</v>
          </cell>
          <cell r="ES86">
            <v>8493.4704888608467</v>
          </cell>
          <cell r="ET86">
            <v>0</v>
          </cell>
          <cell r="EU86">
            <v>0</v>
          </cell>
          <cell r="EV86">
            <v>8111.052773990451</v>
          </cell>
          <cell r="EW86">
            <v>1466</v>
          </cell>
        </row>
        <row r="87">
          <cell r="A87">
            <v>407</v>
          </cell>
          <cell r="B87" t="str">
            <v>Eliot-Hine MS</v>
          </cell>
          <cell r="C87" t="str">
            <v>MS</v>
          </cell>
          <cell r="D87">
            <v>6</v>
          </cell>
          <cell r="E87">
            <v>278</v>
          </cell>
          <cell r="F87">
            <v>0.59</v>
          </cell>
          <cell r="G87">
            <v>164</v>
          </cell>
          <cell r="H87">
            <v>195277</v>
          </cell>
          <cell r="I87">
            <v>112569</v>
          </cell>
          <cell r="J87">
            <v>140876</v>
          </cell>
          <cell r="K87">
            <v>112569</v>
          </cell>
          <cell r="M87">
            <v>45440</v>
          </cell>
          <cell r="N87">
            <v>67876</v>
          </cell>
          <cell r="S87">
            <v>78183</v>
          </cell>
          <cell r="T87">
            <v>60194</v>
          </cell>
          <cell r="U87">
            <v>151785</v>
          </cell>
          <cell r="V87">
            <v>56285</v>
          </cell>
          <cell r="AE87">
            <v>1418369</v>
          </cell>
          <cell r="AG87">
            <v>112569</v>
          </cell>
          <cell r="AH87">
            <v>112569</v>
          </cell>
          <cell r="AI87">
            <v>1125690</v>
          </cell>
          <cell r="AJ87">
            <v>224928</v>
          </cell>
          <cell r="AN87">
            <v>15760</v>
          </cell>
          <cell r="AW87">
            <v>0</v>
          </cell>
          <cell r="AX87">
            <v>126055.54999999999</v>
          </cell>
          <cell r="AZ87">
            <v>0</v>
          </cell>
          <cell r="BA87">
            <v>117087</v>
          </cell>
          <cell r="BC87">
            <v>156529</v>
          </cell>
          <cell r="BQ87">
            <v>225138</v>
          </cell>
          <cell r="BR87">
            <v>112569</v>
          </cell>
          <cell r="BS87">
            <v>23000</v>
          </cell>
          <cell r="BU87">
            <v>299968</v>
          </cell>
          <cell r="BV87">
            <v>100000</v>
          </cell>
          <cell r="BY87">
            <v>3282</v>
          </cell>
          <cell r="BZ87">
            <v>2558</v>
          </cell>
          <cell r="CA87">
            <v>2780</v>
          </cell>
          <cell r="CB87">
            <v>2780</v>
          </cell>
          <cell r="CC87">
            <v>3197</v>
          </cell>
          <cell r="CD87">
            <v>5560</v>
          </cell>
          <cell r="CM87">
            <v>27800</v>
          </cell>
          <cell r="CN87">
            <v>76344</v>
          </cell>
          <cell r="CO87">
            <v>8080</v>
          </cell>
          <cell r="CW87">
            <v>23387</v>
          </cell>
          <cell r="CY87">
            <v>39000</v>
          </cell>
          <cell r="DC87">
            <v>56285</v>
          </cell>
          <cell r="DD87">
            <v>5442338.5499999998</v>
          </cell>
          <cell r="DE87">
            <v>4596.2131408844143</v>
          </cell>
          <cell r="DF87">
            <v>5446934.7631408842</v>
          </cell>
          <cell r="DG87">
            <v>117646.79</v>
          </cell>
          <cell r="DH87">
            <v>112569</v>
          </cell>
          <cell r="DI87">
            <v>5446934.7631408842</v>
          </cell>
          <cell r="DJ87">
            <v>5677150.5531408843</v>
          </cell>
          <cell r="DK87">
            <v>2626498</v>
          </cell>
          <cell r="DL87">
            <v>415169</v>
          </cell>
          <cell r="DM87">
            <v>0</v>
          </cell>
          <cell r="DN87">
            <v>311380</v>
          </cell>
          <cell r="DO87">
            <v>103789</v>
          </cell>
          <cell r="DP87">
            <v>0.24999217186254272</v>
          </cell>
          <cell r="DQ87">
            <v>2953345</v>
          </cell>
          <cell r="DR87">
            <v>1575756</v>
          </cell>
          <cell r="DS87">
            <v>15760</v>
          </cell>
          <cell r="DT87">
            <v>126055.54999999999</v>
          </cell>
          <cell r="DU87">
            <v>0</v>
          </cell>
          <cell r="DV87">
            <v>0</v>
          </cell>
          <cell r="DW87">
            <v>0</v>
          </cell>
          <cell r="DX87">
            <v>299968</v>
          </cell>
          <cell r="DY87">
            <v>60881.213140884414</v>
          </cell>
          <cell r="DZ87">
            <v>230215.78999999998</v>
          </cell>
          <cell r="EA87">
            <v>103789</v>
          </cell>
          <cell r="EB87">
            <v>0.24999217186254272</v>
          </cell>
          <cell r="EC87">
            <v>0</v>
          </cell>
          <cell r="ED87">
            <v>311380</v>
          </cell>
          <cell r="EE87">
            <v>415169</v>
          </cell>
          <cell r="EF87">
            <v>5677150.8031330565</v>
          </cell>
          <cell r="EH87">
            <v>3014226.2131408844</v>
          </cell>
          <cell r="EI87">
            <v>10842.540335039153</v>
          </cell>
          <cell r="EJ87">
            <v>10640.076306262174</v>
          </cell>
          <cell r="EK87">
            <v>5446934.7631408842</v>
          </cell>
          <cell r="EL87">
            <v>5329324</v>
          </cell>
          <cell r="EM87">
            <v>117610.76314088423</v>
          </cell>
          <cell r="EN87">
            <v>2.206860816510391E-2</v>
          </cell>
          <cell r="EO87">
            <v>117610.76314088423</v>
          </cell>
          <cell r="EP87">
            <v>347826.55314088427</v>
          </cell>
          <cell r="EQ87">
            <v>5320879.2131408844</v>
          </cell>
          <cell r="ER87">
            <v>3244442.0031408845</v>
          </cell>
          <cell r="ES87">
            <v>11670.654687557138</v>
          </cell>
          <cell r="ET87">
            <v>0</v>
          </cell>
          <cell r="EU87">
            <v>0</v>
          </cell>
          <cell r="EV87">
            <v>10842.540335039153</v>
          </cell>
          <cell r="EW87">
            <v>278</v>
          </cell>
        </row>
        <row r="88">
          <cell r="A88">
            <v>246</v>
          </cell>
          <cell r="B88" t="str">
            <v>Hardy MS</v>
          </cell>
          <cell r="C88" t="str">
            <v>MS</v>
          </cell>
          <cell r="D88">
            <v>2</v>
          </cell>
          <cell r="E88">
            <v>525</v>
          </cell>
          <cell r="F88">
            <v>0.16</v>
          </cell>
          <cell r="G88">
            <v>84</v>
          </cell>
          <cell r="H88">
            <v>195277</v>
          </cell>
          <cell r="I88">
            <v>112569</v>
          </cell>
          <cell r="J88">
            <v>281752</v>
          </cell>
          <cell r="K88">
            <v>146340</v>
          </cell>
          <cell r="M88">
            <v>90879</v>
          </cell>
          <cell r="N88">
            <v>67876</v>
          </cell>
          <cell r="O88">
            <v>65831</v>
          </cell>
          <cell r="S88">
            <v>78183</v>
          </cell>
          <cell r="T88">
            <v>60194</v>
          </cell>
          <cell r="U88">
            <v>151785</v>
          </cell>
          <cell r="V88">
            <v>112569</v>
          </cell>
          <cell r="AE88">
            <v>2690399</v>
          </cell>
          <cell r="AG88">
            <v>112569</v>
          </cell>
          <cell r="AH88">
            <v>112569</v>
          </cell>
          <cell r="AI88">
            <v>1013121</v>
          </cell>
          <cell r="AJ88">
            <v>149952</v>
          </cell>
          <cell r="AM88">
            <v>112569</v>
          </cell>
          <cell r="AW88">
            <v>0</v>
          </cell>
          <cell r="AX88">
            <v>0</v>
          </cell>
          <cell r="AY88">
            <v>13125</v>
          </cell>
          <cell r="AZ88">
            <v>0</v>
          </cell>
          <cell r="BB88">
            <v>112569</v>
          </cell>
          <cell r="BQ88">
            <v>337707</v>
          </cell>
          <cell r="BS88">
            <v>23000</v>
          </cell>
          <cell r="BU88">
            <v>244046</v>
          </cell>
          <cell r="BV88">
            <v>100000</v>
          </cell>
          <cell r="BZ88">
            <v>4830</v>
          </cell>
          <cell r="CA88">
            <v>5250</v>
          </cell>
          <cell r="CB88">
            <v>5250</v>
          </cell>
          <cell r="CC88">
            <v>6038</v>
          </cell>
          <cell r="CD88">
            <v>10500</v>
          </cell>
          <cell r="CM88">
            <v>52500</v>
          </cell>
          <cell r="CN88">
            <v>98286</v>
          </cell>
          <cell r="CO88">
            <v>7381</v>
          </cell>
          <cell r="CY88">
            <v>15075</v>
          </cell>
          <cell r="DC88">
            <v>168854</v>
          </cell>
          <cell r="DD88">
            <v>6758845</v>
          </cell>
          <cell r="DE88">
            <v>5010.6666700001806</v>
          </cell>
          <cell r="DF88">
            <v>6763855.6666700002</v>
          </cell>
          <cell r="DG88">
            <v>80378.039999999994</v>
          </cell>
          <cell r="DH88">
            <v>225138</v>
          </cell>
          <cell r="DI88">
            <v>6763855.6666700002</v>
          </cell>
          <cell r="DJ88">
            <v>7069371.7066700002</v>
          </cell>
          <cell r="DK88">
            <v>4414234</v>
          </cell>
          <cell r="DL88">
            <v>212648</v>
          </cell>
          <cell r="DM88">
            <v>0</v>
          </cell>
          <cell r="DN88">
            <v>15075</v>
          </cell>
          <cell r="DO88">
            <v>197573</v>
          </cell>
          <cell r="DP88">
            <v>0.92910819758474095</v>
          </cell>
          <cell r="DQ88">
            <v>4619392</v>
          </cell>
          <cell r="DR88">
            <v>1388211</v>
          </cell>
          <cell r="DS88">
            <v>112569</v>
          </cell>
          <cell r="DT88">
            <v>13125</v>
          </cell>
          <cell r="DU88">
            <v>0</v>
          </cell>
          <cell r="DV88">
            <v>0</v>
          </cell>
          <cell r="DW88">
            <v>0</v>
          </cell>
          <cell r="DX88">
            <v>244046</v>
          </cell>
          <cell r="DY88">
            <v>173864.66667000018</v>
          </cell>
          <cell r="DZ88">
            <v>305516.03999999998</v>
          </cell>
          <cell r="EA88">
            <v>197573</v>
          </cell>
          <cell r="EB88">
            <v>0.92910819758474095</v>
          </cell>
          <cell r="EC88">
            <v>0</v>
          </cell>
          <cell r="ED88">
            <v>15075</v>
          </cell>
          <cell r="EE88">
            <v>212648</v>
          </cell>
          <cell r="EF88">
            <v>7069372.635778198</v>
          </cell>
          <cell r="EH88">
            <v>4793256.6666700002</v>
          </cell>
          <cell r="EI88">
            <v>9130.0126984190483</v>
          </cell>
          <cell r="EJ88">
            <v>8808.3860317523813</v>
          </cell>
          <cell r="EK88">
            <v>6763855.6666700002</v>
          </cell>
          <cell r="EL88">
            <v>6588154</v>
          </cell>
          <cell r="EM88">
            <v>175701.66667000018</v>
          </cell>
          <cell r="EN88">
            <v>2.6669332057204519E-2</v>
          </cell>
          <cell r="EO88">
            <v>175701.66667000018</v>
          </cell>
          <cell r="EP88">
            <v>481217.70667000022</v>
          </cell>
          <cell r="EQ88">
            <v>6750730.6666700002</v>
          </cell>
          <cell r="ER88">
            <v>5098772.7066700002</v>
          </cell>
          <cell r="ES88">
            <v>9711.9480127047627</v>
          </cell>
          <cell r="ET88">
            <v>0</v>
          </cell>
          <cell r="EU88">
            <v>0</v>
          </cell>
          <cell r="EV88">
            <v>9130.0126984190483</v>
          </cell>
          <cell r="EW88">
            <v>525</v>
          </cell>
        </row>
        <row r="89">
          <cell r="A89">
            <v>413</v>
          </cell>
          <cell r="B89" t="str">
            <v>Hart MS</v>
          </cell>
          <cell r="C89" t="str">
            <v>MS</v>
          </cell>
          <cell r="D89">
            <v>8</v>
          </cell>
          <cell r="E89">
            <v>475</v>
          </cell>
          <cell r="F89">
            <v>0.78300000000000003</v>
          </cell>
          <cell r="G89">
            <v>372</v>
          </cell>
          <cell r="H89">
            <v>195277</v>
          </cell>
          <cell r="I89">
            <v>112569</v>
          </cell>
          <cell r="J89">
            <v>250446</v>
          </cell>
          <cell r="K89">
            <v>135083</v>
          </cell>
          <cell r="M89">
            <v>90879</v>
          </cell>
          <cell r="N89">
            <v>67876</v>
          </cell>
          <cell r="O89">
            <v>60767</v>
          </cell>
          <cell r="Q89">
            <v>69509</v>
          </cell>
          <cell r="S89">
            <v>78183</v>
          </cell>
          <cell r="T89">
            <v>60194</v>
          </cell>
          <cell r="U89">
            <v>252975</v>
          </cell>
          <cell r="V89">
            <v>112569</v>
          </cell>
          <cell r="AE89">
            <v>2431490</v>
          </cell>
          <cell r="AG89">
            <v>112569</v>
          </cell>
          <cell r="AH89">
            <v>450276</v>
          </cell>
          <cell r="AI89">
            <v>1125690</v>
          </cell>
          <cell r="AJ89">
            <v>149952</v>
          </cell>
          <cell r="AK89">
            <v>110030</v>
          </cell>
          <cell r="AN89">
            <v>30394</v>
          </cell>
          <cell r="AR89">
            <v>13600</v>
          </cell>
          <cell r="AS89">
            <v>13600</v>
          </cell>
          <cell r="AT89">
            <v>10200</v>
          </cell>
          <cell r="AW89">
            <v>27200</v>
          </cell>
          <cell r="AX89">
            <v>215379.69</v>
          </cell>
          <cell r="AZ89">
            <v>0</v>
          </cell>
          <cell r="BC89">
            <v>156529</v>
          </cell>
          <cell r="BQ89">
            <v>337707</v>
          </cell>
          <cell r="BS89">
            <v>23000</v>
          </cell>
          <cell r="BU89">
            <v>367239</v>
          </cell>
          <cell r="BV89">
            <v>100000</v>
          </cell>
          <cell r="BY89">
            <v>14935</v>
          </cell>
          <cell r="BZ89">
            <v>4370</v>
          </cell>
          <cell r="CA89">
            <v>4750</v>
          </cell>
          <cell r="CB89">
            <v>4750</v>
          </cell>
          <cell r="CC89">
            <v>5463</v>
          </cell>
          <cell r="CD89">
            <v>9500</v>
          </cell>
          <cell r="CM89">
            <v>47500</v>
          </cell>
          <cell r="CN89">
            <v>104510</v>
          </cell>
          <cell r="CO89">
            <v>6985</v>
          </cell>
          <cell r="CY89">
            <v>64125</v>
          </cell>
          <cell r="DC89">
            <v>0</v>
          </cell>
          <cell r="DD89">
            <v>7428070.6900000004</v>
          </cell>
          <cell r="DE89">
            <v>5318.2363943364471</v>
          </cell>
          <cell r="DF89">
            <v>7433388.9263943369</v>
          </cell>
          <cell r="DG89">
            <v>210552.37</v>
          </cell>
          <cell r="DH89">
            <v>225138</v>
          </cell>
          <cell r="DI89">
            <v>7433388.9263943369</v>
          </cell>
          <cell r="DJ89">
            <v>7869079.296394337</v>
          </cell>
          <cell r="DK89">
            <v>4175000</v>
          </cell>
          <cell r="DL89">
            <v>941725</v>
          </cell>
          <cell r="DM89">
            <v>37400</v>
          </cell>
          <cell r="DN89">
            <v>235589</v>
          </cell>
          <cell r="DO89">
            <v>668736</v>
          </cell>
          <cell r="DP89">
            <v>0.71011813427486792</v>
          </cell>
          <cell r="DQ89">
            <v>3897616</v>
          </cell>
          <cell r="DR89">
            <v>1948517</v>
          </cell>
          <cell r="DS89">
            <v>30394</v>
          </cell>
          <cell r="DT89">
            <v>242579.69</v>
          </cell>
          <cell r="DU89">
            <v>0</v>
          </cell>
          <cell r="DV89">
            <v>0</v>
          </cell>
          <cell r="DW89">
            <v>0</v>
          </cell>
          <cell r="DX89">
            <v>367239</v>
          </cell>
          <cell r="DY89">
            <v>5318.2363943364471</v>
          </cell>
          <cell r="DZ89">
            <v>435690.37</v>
          </cell>
          <cell r="EA89">
            <v>668736</v>
          </cell>
          <cell r="EB89">
            <v>0.71011813427486792</v>
          </cell>
          <cell r="EC89">
            <v>37400</v>
          </cell>
          <cell r="ED89">
            <v>235589</v>
          </cell>
          <cell r="EE89">
            <v>941725</v>
          </cell>
          <cell r="EF89">
            <v>7869080.0065124715</v>
          </cell>
          <cell r="EH89">
            <v>3902934.2363943364</v>
          </cell>
          <cell r="EI89">
            <v>8216.7036555670238</v>
          </cell>
          <cell r="EJ89">
            <v>8216.7036555670238</v>
          </cell>
          <cell r="EK89">
            <v>7433388.9263943369</v>
          </cell>
          <cell r="EL89">
            <v>7195491</v>
          </cell>
          <cell r="EM89">
            <v>237897.92639433686</v>
          </cell>
          <cell r="EN89">
            <v>3.3062083795857275E-2</v>
          </cell>
          <cell r="EO89">
            <v>237897.92639433686</v>
          </cell>
          <cell r="EP89">
            <v>673588.29639433697</v>
          </cell>
          <cell r="EQ89">
            <v>7190809.2363943364</v>
          </cell>
          <cell r="ER89">
            <v>4338624.6063943366</v>
          </cell>
          <cell r="ES89">
            <v>9133.9465397775512</v>
          </cell>
          <cell r="ET89">
            <v>0</v>
          </cell>
          <cell r="EU89">
            <v>0</v>
          </cell>
          <cell r="EV89">
            <v>8216.7036555670238</v>
          </cell>
          <cell r="EW89">
            <v>475</v>
          </cell>
        </row>
        <row r="90">
          <cell r="A90">
            <v>1071</v>
          </cell>
          <cell r="B90" t="str">
            <v>Ida B. Wells MS</v>
          </cell>
          <cell r="C90" t="str">
            <v>MS</v>
          </cell>
          <cell r="D90">
            <v>4</v>
          </cell>
          <cell r="E90">
            <v>551</v>
          </cell>
          <cell r="F90">
            <v>0.58299999999999996</v>
          </cell>
          <cell r="G90">
            <v>321</v>
          </cell>
          <cell r="H90">
            <v>195277</v>
          </cell>
          <cell r="I90">
            <v>112569</v>
          </cell>
          <cell r="J90">
            <v>281752</v>
          </cell>
          <cell r="K90">
            <v>157597</v>
          </cell>
          <cell r="M90">
            <v>90879</v>
          </cell>
          <cell r="N90">
            <v>67876</v>
          </cell>
          <cell r="O90">
            <v>70895</v>
          </cell>
          <cell r="S90">
            <v>78183</v>
          </cell>
          <cell r="T90">
            <v>60194</v>
          </cell>
          <cell r="U90">
            <v>151785</v>
          </cell>
          <cell r="V90">
            <v>112569</v>
          </cell>
          <cell r="AE90">
            <v>2825482</v>
          </cell>
          <cell r="AG90">
            <v>112569</v>
          </cell>
          <cell r="AH90">
            <v>225138</v>
          </cell>
          <cell r="AI90">
            <v>1125690</v>
          </cell>
          <cell r="AJ90">
            <v>187440</v>
          </cell>
          <cell r="AM90">
            <v>900552</v>
          </cell>
          <cell r="AP90">
            <v>225138</v>
          </cell>
          <cell r="AW90">
            <v>0</v>
          </cell>
          <cell r="AX90">
            <v>182434.42</v>
          </cell>
          <cell r="AZ90">
            <v>0</v>
          </cell>
          <cell r="BB90">
            <v>112569</v>
          </cell>
          <cell r="BQ90">
            <v>337707</v>
          </cell>
          <cell r="BS90">
            <v>23000</v>
          </cell>
          <cell r="BT90">
            <v>5000</v>
          </cell>
          <cell r="BU90">
            <v>244046</v>
          </cell>
          <cell r="BV90">
            <v>100000</v>
          </cell>
          <cell r="BY90">
            <v>6428</v>
          </cell>
          <cell r="BZ90">
            <v>5069</v>
          </cell>
          <cell r="CA90">
            <v>5510</v>
          </cell>
          <cell r="CB90">
            <v>5510</v>
          </cell>
          <cell r="CC90">
            <v>6337</v>
          </cell>
          <cell r="CD90">
            <v>11020</v>
          </cell>
          <cell r="CM90">
            <v>55100</v>
          </cell>
          <cell r="CN90">
            <v>121263</v>
          </cell>
          <cell r="CO90">
            <v>6463</v>
          </cell>
          <cell r="CY90">
            <v>22430</v>
          </cell>
          <cell r="DC90">
            <v>137569</v>
          </cell>
          <cell r="DD90">
            <v>8369040.4199999999</v>
          </cell>
          <cell r="DE90">
            <v>13.179999999701977</v>
          </cell>
          <cell r="DF90">
            <v>8369053.5999999996</v>
          </cell>
          <cell r="DG90">
            <v>230674.73</v>
          </cell>
          <cell r="DH90">
            <v>228699</v>
          </cell>
          <cell r="DI90">
            <v>8369053.5999999996</v>
          </cell>
          <cell r="DJ90">
            <v>8828427.3300000001</v>
          </cell>
          <cell r="DK90">
            <v>4596875</v>
          </cell>
          <cell r="DL90">
            <v>812617</v>
          </cell>
          <cell r="DM90">
            <v>0</v>
          </cell>
          <cell r="DN90">
            <v>28858</v>
          </cell>
          <cell r="DO90">
            <v>783759</v>
          </cell>
          <cell r="DP90">
            <v>0.96448757532761431</v>
          </cell>
          <cell r="DQ90">
            <v>4215847</v>
          </cell>
          <cell r="DR90">
            <v>1650837</v>
          </cell>
          <cell r="DS90">
            <v>1125690</v>
          </cell>
          <cell r="DT90">
            <v>182434.42</v>
          </cell>
          <cell r="DU90">
            <v>0</v>
          </cell>
          <cell r="DV90">
            <v>0</v>
          </cell>
          <cell r="DW90">
            <v>0</v>
          </cell>
          <cell r="DX90">
            <v>244046</v>
          </cell>
          <cell r="DY90">
            <v>137582.1799999997</v>
          </cell>
          <cell r="DZ90">
            <v>459373.73</v>
          </cell>
          <cell r="EA90">
            <v>783759</v>
          </cell>
          <cell r="EB90">
            <v>0.96448757532761431</v>
          </cell>
          <cell r="EC90">
            <v>0</v>
          </cell>
          <cell r="ED90">
            <v>28858</v>
          </cell>
          <cell r="EE90">
            <v>812617</v>
          </cell>
          <cell r="EF90">
            <v>8828428.2944875751</v>
          </cell>
          <cell r="EH90">
            <v>4353429.18</v>
          </cell>
          <cell r="EI90">
            <v>7900.9603992740467</v>
          </cell>
          <cell r="EJ90">
            <v>7651.2888929219598</v>
          </cell>
          <cell r="EK90">
            <v>8369053.5999999996</v>
          </cell>
          <cell r="EL90">
            <v>6412864</v>
          </cell>
          <cell r="EM90">
            <v>1956189.5999999996</v>
          </cell>
          <cell r="EN90">
            <v>0.30504149160188015</v>
          </cell>
          <cell r="EO90">
            <v>1956189.5999999996</v>
          </cell>
          <cell r="EP90">
            <v>2415563.33</v>
          </cell>
          <cell r="EQ90">
            <v>8186619.1799999997</v>
          </cell>
          <cell r="ER90">
            <v>4812802.91</v>
          </cell>
          <cell r="ES90">
            <v>8734.6695281306711</v>
          </cell>
          <cell r="ET90">
            <v>0</v>
          </cell>
          <cell r="EU90">
            <v>0</v>
          </cell>
          <cell r="EV90">
            <v>7900.9603992740467</v>
          </cell>
          <cell r="EW90">
            <v>551</v>
          </cell>
        </row>
        <row r="91">
          <cell r="A91">
            <v>433</v>
          </cell>
          <cell r="B91" t="str">
            <v>Jefferson Academy MS</v>
          </cell>
          <cell r="C91" t="str">
            <v>MS</v>
          </cell>
          <cell r="D91">
            <v>6</v>
          </cell>
          <cell r="E91">
            <v>389</v>
          </cell>
          <cell r="F91">
            <v>0.57599999999999996</v>
          </cell>
          <cell r="G91">
            <v>224</v>
          </cell>
          <cell r="H91">
            <v>195277</v>
          </cell>
          <cell r="I91">
            <v>112569</v>
          </cell>
          <cell r="J91">
            <v>203488</v>
          </cell>
          <cell r="K91">
            <v>112569</v>
          </cell>
          <cell r="M91">
            <v>90879</v>
          </cell>
          <cell r="N91">
            <v>67876</v>
          </cell>
          <cell r="S91">
            <v>78183</v>
          </cell>
          <cell r="T91">
            <v>60194</v>
          </cell>
          <cell r="U91">
            <v>151785</v>
          </cell>
          <cell r="V91">
            <v>112569</v>
          </cell>
          <cell r="AE91">
            <v>1992471</v>
          </cell>
          <cell r="AG91">
            <v>112569</v>
          </cell>
          <cell r="AH91">
            <v>337707</v>
          </cell>
          <cell r="AI91">
            <v>1013121</v>
          </cell>
          <cell r="AJ91">
            <v>112464</v>
          </cell>
          <cell r="AK91">
            <v>55015</v>
          </cell>
          <cell r="AN91">
            <v>20262</v>
          </cell>
          <cell r="AR91">
            <v>6800</v>
          </cell>
          <cell r="AS91">
            <v>6800</v>
          </cell>
          <cell r="AT91">
            <v>10200</v>
          </cell>
          <cell r="AW91">
            <v>13600</v>
          </cell>
          <cell r="AX91">
            <v>176385.72</v>
          </cell>
          <cell r="AZ91">
            <v>0</v>
          </cell>
          <cell r="BC91">
            <v>156529</v>
          </cell>
          <cell r="BQ91">
            <v>337707</v>
          </cell>
          <cell r="BS91">
            <v>23000</v>
          </cell>
          <cell r="BU91">
            <v>244046</v>
          </cell>
          <cell r="BV91">
            <v>100000</v>
          </cell>
          <cell r="BY91">
            <v>4485</v>
          </cell>
          <cell r="BZ91">
            <v>3579</v>
          </cell>
          <cell r="CA91">
            <v>3890</v>
          </cell>
          <cell r="CB91">
            <v>3890</v>
          </cell>
          <cell r="CC91">
            <v>4474</v>
          </cell>
          <cell r="CD91">
            <v>7780</v>
          </cell>
          <cell r="CM91">
            <v>38900</v>
          </cell>
          <cell r="CN91">
            <v>87318</v>
          </cell>
          <cell r="CO91">
            <v>6382</v>
          </cell>
          <cell r="CY91">
            <v>44525</v>
          </cell>
          <cell r="DC91">
            <v>0</v>
          </cell>
          <cell r="DD91">
            <v>6109288.7199999997</v>
          </cell>
          <cell r="DE91">
            <v>5214.2675995584577</v>
          </cell>
          <cell r="DF91">
            <v>6114502.9875995582</v>
          </cell>
          <cell r="DG91">
            <v>154739.41</v>
          </cell>
          <cell r="DH91">
            <v>0</v>
          </cell>
          <cell r="DI91">
            <v>6114502.9875995582</v>
          </cell>
          <cell r="DJ91">
            <v>6269242.3975995583</v>
          </cell>
          <cell r="DK91">
            <v>3504618</v>
          </cell>
          <cell r="DL91">
            <v>567060</v>
          </cell>
          <cell r="DM91">
            <v>23800</v>
          </cell>
          <cell r="DN91">
            <v>205539</v>
          </cell>
          <cell r="DO91">
            <v>337721</v>
          </cell>
          <cell r="DP91">
            <v>0.5955648432264663</v>
          </cell>
          <cell r="DQ91">
            <v>3457059</v>
          </cell>
          <cell r="DR91">
            <v>1630876</v>
          </cell>
          <cell r="DS91">
            <v>20262</v>
          </cell>
          <cell r="DT91">
            <v>189985.72</v>
          </cell>
          <cell r="DU91">
            <v>0</v>
          </cell>
          <cell r="DV91">
            <v>0</v>
          </cell>
          <cell r="DW91">
            <v>0</v>
          </cell>
          <cell r="DX91">
            <v>244046</v>
          </cell>
          <cell r="DY91">
            <v>5214.2675995584577</v>
          </cell>
          <cell r="DZ91">
            <v>154739.41</v>
          </cell>
          <cell r="EA91">
            <v>337721</v>
          </cell>
          <cell r="EB91">
            <v>0.5955648432264663</v>
          </cell>
          <cell r="EC91">
            <v>23800</v>
          </cell>
          <cell r="ED91">
            <v>205539</v>
          </cell>
          <cell r="EE91">
            <v>567060</v>
          </cell>
          <cell r="EF91">
            <v>6269242.9931644015</v>
          </cell>
          <cell r="EH91">
            <v>3462273.2675995585</v>
          </cell>
          <cell r="EI91">
            <v>8900.4454179937238</v>
          </cell>
          <cell r="EJ91">
            <v>8900.4454179937238</v>
          </cell>
          <cell r="EK91">
            <v>6114502.9875995582</v>
          </cell>
          <cell r="EL91">
            <v>5547755</v>
          </cell>
          <cell r="EM91">
            <v>566747.9875995582</v>
          </cell>
          <cell r="EN91">
            <v>0.10215807792513516</v>
          </cell>
          <cell r="EO91">
            <v>566747.9875995582</v>
          </cell>
          <cell r="EP91">
            <v>721487.39759955835</v>
          </cell>
          <cell r="EQ91">
            <v>5924517.2675995585</v>
          </cell>
          <cell r="ER91">
            <v>3617012.6775995586</v>
          </cell>
          <cell r="ES91">
            <v>9298.2331043690447</v>
          </cell>
          <cell r="ET91">
            <v>0</v>
          </cell>
          <cell r="EU91">
            <v>0</v>
          </cell>
          <cell r="EV91">
            <v>8900.4454179937238</v>
          </cell>
          <cell r="EW91">
            <v>389</v>
          </cell>
        </row>
        <row r="92">
          <cell r="A92">
            <v>416</v>
          </cell>
          <cell r="B92" t="str">
            <v>Johnson MS</v>
          </cell>
          <cell r="C92" t="str">
            <v>MS</v>
          </cell>
          <cell r="D92">
            <v>8</v>
          </cell>
          <cell r="E92">
            <v>371</v>
          </cell>
          <cell r="F92">
            <v>0.79500000000000004</v>
          </cell>
          <cell r="G92">
            <v>295</v>
          </cell>
          <cell r="H92">
            <v>195277</v>
          </cell>
          <cell r="I92">
            <v>112569</v>
          </cell>
          <cell r="J92">
            <v>187835</v>
          </cell>
          <cell r="K92">
            <v>112569</v>
          </cell>
          <cell r="M92">
            <v>90879</v>
          </cell>
          <cell r="N92">
            <v>67876</v>
          </cell>
          <cell r="Q92">
            <v>69509</v>
          </cell>
          <cell r="S92">
            <v>78183</v>
          </cell>
          <cell r="T92">
            <v>60194</v>
          </cell>
          <cell r="U92">
            <v>202380</v>
          </cell>
          <cell r="V92">
            <v>112569</v>
          </cell>
          <cell r="AE92">
            <v>1891159</v>
          </cell>
          <cell r="AG92">
            <v>112569</v>
          </cell>
          <cell r="AH92">
            <v>225138</v>
          </cell>
          <cell r="AI92">
            <v>1125690</v>
          </cell>
          <cell r="AJ92">
            <v>224928</v>
          </cell>
          <cell r="AN92">
            <v>10131</v>
          </cell>
          <cell r="AW92">
            <v>0</v>
          </cell>
          <cell r="AX92">
            <v>168223.74</v>
          </cell>
          <cell r="AZ92">
            <v>0</v>
          </cell>
          <cell r="BB92">
            <v>112569</v>
          </cell>
          <cell r="BC92">
            <v>156529</v>
          </cell>
          <cell r="BQ92">
            <v>337707</v>
          </cell>
          <cell r="BS92">
            <v>23000</v>
          </cell>
          <cell r="BT92">
            <v>5000</v>
          </cell>
          <cell r="BU92">
            <v>244046</v>
          </cell>
          <cell r="BV92">
            <v>100000</v>
          </cell>
          <cell r="BY92">
            <v>11844</v>
          </cell>
          <cell r="BZ92">
            <v>3413</v>
          </cell>
          <cell r="CA92">
            <v>3710</v>
          </cell>
          <cell r="CB92">
            <v>3710</v>
          </cell>
          <cell r="CC92">
            <v>4267</v>
          </cell>
          <cell r="CD92">
            <v>7420</v>
          </cell>
          <cell r="CM92">
            <v>37100</v>
          </cell>
          <cell r="CN92">
            <v>89941</v>
          </cell>
          <cell r="CO92">
            <v>6695</v>
          </cell>
          <cell r="CY92">
            <v>53250</v>
          </cell>
          <cell r="DC92">
            <v>112569</v>
          </cell>
          <cell r="DD92">
            <v>6360448.7400000002</v>
          </cell>
          <cell r="DE92">
            <v>112.36046477872878</v>
          </cell>
          <cell r="DF92">
            <v>6360561.100464779</v>
          </cell>
          <cell r="DG92">
            <v>189061.03</v>
          </cell>
          <cell r="DH92">
            <v>110030</v>
          </cell>
          <cell r="DI92">
            <v>6360561.100464779</v>
          </cell>
          <cell r="DJ92">
            <v>6659652.1304647792</v>
          </cell>
          <cell r="DK92">
            <v>3462205</v>
          </cell>
          <cell r="DL92">
            <v>746798</v>
          </cell>
          <cell r="DM92">
            <v>0</v>
          </cell>
          <cell r="DN92">
            <v>221623</v>
          </cell>
          <cell r="DO92">
            <v>525175</v>
          </cell>
          <cell r="DP92">
            <v>0.70323568086684751</v>
          </cell>
          <cell r="DQ92">
            <v>3390356</v>
          </cell>
          <cell r="DR92">
            <v>1688325</v>
          </cell>
          <cell r="DS92">
            <v>10131</v>
          </cell>
          <cell r="DT92">
            <v>168223.74</v>
          </cell>
          <cell r="DU92">
            <v>0</v>
          </cell>
          <cell r="DV92">
            <v>0</v>
          </cell>
          <cell r="DW92">
            <v>0</v>
          </cell>
          <cell r="DX92">
            <v>244046</v>
          </cell>
          <cell r="DY92">
            <v>112681.36046477873</v>
          </cell>
          <cell r="DZ92">
            <v>299091.03000000003</v>
          </cell>
          <cell r="EA92">
            <v>525175</v>
          </cell>
          <cell r="EB92">
            <v>0.70323568086684751</v>
          </cell>
          <cell r="EC92">
            <v>0</v>
          </cell>
          <cell r="ED92">
            <v>221623</v>
          </cell>
          <cell r="EE92">
            <v>746798</v>
          </cell>
          <cell r="EF92">
            <v>6659652.8337004604</v>
          </cell>
          <cell r="EH92">
            <v>3503037.3604647787</v>
          </cell>
          <cell r="EI92">
            <v>9442.1492195816136</v>
          </cell>
          <cell r="EJ92">
            <v>9138.7287344064116</v>
          </cell>
          <cell r="EK92">
            <v>6360561.100464779</v>
          </cell>
          <cell r="EL92">
            <v>5974681</v>
          </cell>
          <cell r="EM92">
            <v>385880.10046477895</v>
          </cell>
          <cell r="EN92">
            <v>6.4585891776444457E-2</v>
          </cell>
          <cell r="EO92">
            <v>385880.10046477895</v>
          </cell>
          <cell r="EP92">
            <v>684971.13046477921</v>
          </cell>
          <cell r="EQ92">
            <v>6192337.3604647787</v>
          </cell>
          <cell r="ER92">
            <v>3802128.390464779</v>
          </cell>
          <cell r="ES92">
            <v>10248.324502600482</v>
          </cell>
          <cell r="ET92">
            <v>0</v>
          </cell>
          <cell r="EU92">
            <v>0</v>
          </cell>
          <cell r="EV92">
            <v>9442.1492195816136</v>
          </cell>
          <cell r="EW92">
            <v>371</v>
          </cell>
        </row>
        <row r="93">
          <cell r="A93">
            <v>421</v>
          </cell>
          <cell r="B93" t="str">
            <v>Kelly Miller MS</v>
          </cell>
          <cell r="C93" t="str">
            <v>MS</v>
          </cell>
          <cell r="D93">
            <v>7</v>
          </cell>
          <cell r="E93">
            <v>450</v>
          </cell>
          <cell r="F93">
            <v>0.69799999999999995</v>
          </cell>
          <cell r="G93">
            <v>314</v>
          </cell>
          <cell r="H93">
            <v>195277</v>
          </cell>
          <cell r="I93">
            <v>112569</v>
          </cell>
          <cell r="J93">
            <v>234794</v>
          </cell>
          <cell r="K93">
            <v>123826</v>
          </cell>
          <cell r="M93">
            <v>90879</v>
          </cell>
          <cell r="N93">
            <v>67876</v>
          </cell>
          <cell r="O93">
            <v>55703</v>
          </cell>
          <cell r="Q93">
            <v>69509</v>
          </cell>
          <cell r="S93">
            <v>78183</v>
          </cell>
          <cell r="T93">
            <v>60194</v>
          </cell>
          <cell r="U93">
            <v>151785</v>
          </cell>
          <cell r="V93">
            <v>112569</v>
          </cell>
          <cell r="AE93">
            <v>2296408</v>
          </cell>
          <cell r="AG93">
            <v>112569</v>
          </cell>
          <cell r="AH93">
            <v>450276</v>
          </cell>
          <cell r="AI93">
            <v>1238259</v>
          </cell>
          <cell r="AJ93">
            <v>149952</v>
          </cell>
          <cell r="AK93">
            <v>110030</v>
          </cell>
          <cell r="AM93">
            <v>112569</v>
          </cell>
          <cell r="AW93">
            <v>0</v>
          </cell>
          <cell r="AX93">
            <v>204045</v>
          </cell>
          <cell r="AZ93">
            <v>0</v>
          </cell>
          <cell r="BB93">
            <v>112569</v>
          </cell>
          <cell r="BC93">
            <v>156529</v>
          </cell>
          <cell r="BQ93">
            <v>337707</v>
          </cell>
          <cell r="BS93">
            <v>23000</v>
          </cell>
          <cell r="BU93">
            <v>367239</v>
          </cell>
          <cell r="BV93">
            <v>100000</v>
          </cell>
          <cell r="BY93">
            <v>6279</v>
          </cell>
          <cell r="BZ93">
            <v>4140</v>
          </cell>
          <cell r="CA93">
            <v>4500</v>
          </cell>
          <cell r="CB93">
            <v>4500</v>
          </cell>
          <cell r="CC93">
            <v>5175</v>
          </cell>
          <cell r="CD93">
            <v>9000</v>
          </cell>
          <cell r="CM93">
            <v>45000</v>
          </cell>
          <cell r="CN93">
            <v>105134</v>
          </cell>
          <cell r="CO93">
            <v>6050</v>
          </cell>
          <cell r="CY93">
            <v>94500</v>
          </cell>
          <cell r="DA93">
            <v>306016</v>
          </cell>
          <cell r="DB93">
            <v>112569</v>
          </cell>
          <cell r="DC93">
            <v>0</v>
          </cell>
          <cell r="DD93">
            <v>7827179</v>
          </cell>
          <cell r="DE93">
            <v>5010.0166700007394</v>
          </cell>
          <cell r="DF93">
            <v>7832189.0166700007</v>
          </cell>
          <cell r="DG93">
            <v>218434.22</v>
          </cell>
          <cell r="DH93">
            <v>225138</v>
          </cell>
          <cell r="DI93">
            <v>7832189.0166700007</v>
          </cell>
          <cell r="DJ93">
            <v>8275761.2366700005</v>
          </cell>
          <cell r="DK93">
            <v>4003616</v>
          </cell>
          <cell r="DL93">
            <v>794897</v>
          </cell>
          <cell r="DM93">
            <v>0</v>
          </cell>
          <cell r="DN93">
            <v>257308</v>
          </cell>
          <cell r="DO93">
            <v>537589</v>
          </cell>
          <cell r="DP93">
            <v>0.67630019990011281</v>
          </cell>
          <cell r="DQ93">
            <v>3981327</v>
          </cell>
          <cell r="DR93">
            <v>2061086</v>
          </cell>
          <cell r="DS93">
            <v>112569</v>
          </cell>
          <cell r="DT93">
            <v>204045</v>
          </cell>
          <cell r="DU93">
            <v>0</v>
          </cell>
          <cell r="DV93">
            <v>0</v>
          </cell>
          <cell r="DW93">
            <v>306016</v>
          </cell>
          <cell r="DX93">
            <v>367239</v>
          </cell>
          <cell r="DY93">
            <v>5010.0166700007394</v>
          </cell>
          <cell r="DZ93">
            <v>443572.22</v>
          </cell>
          <cell r="EA93">
            <v>537589</v>
          </cell>
          <cell r="EB93">
            <v>0.67630019990011281</v>
          </cell>
          <cell r="EC93">
            <v>0</v>
          </cell>
          <cell r="ED93">
            <v>257308</v>
          </cell>
          <cell r="EE93">
            <v>794897</v>
          </cell>
          <cell r="EF93">
            <v>8275761.9129702002</v>
          </cell>
          <cell r="EH93">
            <v>4292353.0166700007</v>
          </cell>
          <cell r="EI93">
            <v>9538.5622592666678</v>
          </cell>
          <cell r="EJ93">
            <v>8608.3733703777798</v>
          </cell>
          <cell r="EK93">
            <v>7526173.0166700007</v>
          </cell>
          <cell r="EL93">
            <v>7932632</v>
          </cell>
          <cell r="EM93">
            <v>-406458.98332999926</v>
          </cell>
          <cell r="EN93">
            <v>-5.1238855316873298E-2</v>
          </cell>
          <cell r="EO93">
            <v>-100442.98332999926</v>
          </cell>
          <cell r="EP93">
            <v>343129.23667000048</v>
          </cell>
          <cell r="EQ93">
            <v>7628144.0166700007</v>
          </cell>
          <cell r="ER93">
            <v>4735925.2366700005</v>
          </cell>
          <cell r="ES93">
            <v>10524.278303711113</v>
          </cell>
          <cell r="ET93">
            <v>0</v>
          </cell>
          <cell r="EU93">
            <v>0</v>
          </cell>
          <cell r="EV93">
            <v>9538.5622592666678</v>
          </cell>
          <cell r="EW93">
            <v>450</v>
          </cell>
        </row>
        <row r="94">
          <cell r="A94">
            <v>417</v>
          </cell>
          <cell r="B94" t="str">
            <v>Kramer MS</v>
          </cell>
          <cell r="C94" t="str">
            <v>MS</v>
          </cell>
          <cell r="D94">
            <v>8</v>
          </cell>
          <cell r="E94">
            <v>246</v>
          </cell>
          <cell r="F94">
            <v>0.85</v>
          </cell>
          <cell r="G94">
            <v>209</v>
          </cell>
          <cell r="H94">
            <v>195277</v>
          </cell>
          <cell r="I94">
            <v>112569</v>
          </cell>
          <cell r="J94">
            <v>125223</v>
          </cell>
          <cell r="K94">
            <v>112569</v>
          </cell>
          <cell r="M94">
            <v>45440</v>
          </cell>
          <cell r="N94">
            <v>67876</v>
          </cell>
          <cell r="Q94">
            <v>69509</v>
          </cell>
          <cell r="S94">
            <v>78183</v>
          </cell>
          <cell r="T94">
            <v>60194</v>
          </cell>
          <cell r="U94">
            <v>151785</v>
          </cell>
          <cell r="V94">
            <v>56285</v>
          </cell>
          <cell r="AE94">
            <v>1260773</v>
          </cell>
          <cell r="AG94">
            <v>112569</v>
          </cell>
          <cell r="AH94">
            <v>225138</v>
          </cell>
          <cell r="AI94">
            <v>1125690</v>
          </cell>
          <cell r="AJ94">
            <v>149952</v>
          </cell>
          <cell r="AK94">
            <v>55015</v>
          </cell>
          <cell r="AN94">
            <v>10131</v>
          </cell>
          <cell r="AW94">
            <v>0</v>
          </cell>
          <cell r="AX94">
            <v>111544.11</v>
          </cell>
          <cell r="AZ94">
            <v>0</v>
          </cell>
          <cell r="BB94">
            <v>112569</v>
          </cell>
          <cell r="BC94">
            <v>156529</v>
          </cell>
          <cell r="BQ94">
            <v>225138</v>
          </cell>
          <cell r="BS94">
            <v>23000</v>
          </cell>
          <cell r="BU94">
            <v>244046</v>
          </cell>
          <cell r="BV94">
            <v>100000</v>
          </cell>
          <cell r="BX94">
            <v>75000</v>
          </cell>
          <cell r="BY94">
            <v>8389</v>
          </cell>
          <cell r="BZ94">
            <v>2263</v>
          </cell>
          <cell r="CA94">
            <v>2460</v>
          </cell>
          <cell r="CB94">
            <v>2460</v>
          </cell>
          <cell r="CC94">
            <v>2829</v>
          </cell>
          <cell r="CD94">
            <v>4920</v>
          </cell>
          <cell r="CM94">
            <v>24600</v>
          </cell>
          <cell r="CN94">
            <v>74197</v>
          </cell>
          <cell r="CO94">
            <v>5613</v>
          </cell>
          <cell r="CY94">
            <v>48750</v>
          </cell>
          <cell r="DB94">
            <v>112569</v>
          </cell>
          <cell r="DC94">
            <v>173372</v>
          </cell>
          <cell r="DD94">
            <v>5524426.1099999994</v>
          </cell>
          <cell r="DE94">
            <v>5110.6087947804481</v>
          </cell>
          <cell r="DF94">
            <v>5529536.7187947799</v>
          </cell>
          <cell r="DG94">
            <v>117805.41</v>
          </cell>
          <cell r="DH94">
            <v>182079</v>
          </cell>
          <cell r="DI94">
            <v>5529536.7187947799</v>
          </cell>
          <cell r="DJ94">
            <v>5829421.12879478</v>
          </cell>
          <cell r="DK94">
            <v>2513001</v>
          </cell>
          <cell r="DL94">
            <v>529088</v>
          </cell>
          <cell r="DM94">
            <v>0</v>
          </cell>
          <cell r="DN94">
            <v>213668</v>
          </cell>
          <cell r="DO94">
            <v>315420</v>
          </cell>
          <cell r="DP94">
            <v>0.59615791701947507</v>
          </cell>
          <cell r="DQ94">
            <v>2712881</v>
          </cell>
          <cell r="DR94">
            <v>1668364</v>
          </cell>
          <cell r="DS94">
            <v>10131</v>
          </cell>
          <cell r="DT94">
            <v>186544.11</v>
          </cell>
          <cell r="DU94">
            <v>0</v>
          </cell>
          <cell r="DV94">
            <v>0</v>
          </cell>
          <cell r="DW94">
            <v>0</v>
          </cell>
          <cell r="DX94">
            <v>244046</v>
          </cell>
          <cell r="DY94">
            <v>178482.60879478045</v>
          </cell>
          <cell r="DZ94">
            <v>299884.41000000003</v>
          </cell>
          <cell r="EA94">
            <v>315420</v>
          </cell>
          <cell r="EB94">
            <v>0.59615791701947507</v>
          </cell>
          <cell r="EC94">
            <v>0</v>
          </cell>
          <cell r="ED94">
            <v>213668</v>
          </cell>
          <cell r="EE94">
            <v>529088</v>
          </cell>
          <cell r="EF94">
            <v>5829421.7249526978</v>
          </cell>
          <cell r="EH94">
            <v>2891363.6087947804</v>
          </cell>
          <cell r="EI94">
            <v>11753.51060485683</v>
          </cell>
          <cell r="EJ94">
            <v>10591.148816238945</v>
          </cell>
          <cell r="EK94">
            <v>5529536.7187947799</v>
          </cell>
          <cell r="EL94">
            <v>4834333</v>
          </cell>
          <cell r="EM94">
            <v>695203.71879477985</v>
          </cell>
          <cell r="EN94">
            <v>0.14380550921808238</v>
          </cell>
          <cell r="EO94">
            <v>695203.71879477985</v>
          </cell>
          <cell r="EP94">
            <v>995088.12879478</v>
          </cell>
          <cell r="EQ94">
            <v>5342992.6087947795</v>
          </cell>
          <cell r="ER94">
            <v>3191248.0187947806</v>
          </cell>
          <cell r="ES94">
            <v>12972.552921930002</v>
          </cell>
          <cell r="ET94">
            <v>0</v>
          </cell>
          <cell r="EU94">
            <v>0</v>
          </cell>
          <cell r="EV94">
            <v>11753.51060485683</v>
          </cell>
          <cell r="EW94">
            <v>246</v>
          </cell>
        </row>
        <row r="95">
          <cell r="A95">
            <v>420</v>
          </cell>
          <cell r="B95" t="str">
            <v>MacFarland MS</v>
          </cell>
          <cell r="C95" t="str">
            <v>MS</v>
          </cell>
          <cell r="D95">
            <v>4</v>
          </cell>
          <cell r="E95">
            <v>641</v>
          </cell>
          <cell r="F95">
            <v>0.40600000000000003</v>
          </cell>
          <cell r="G95">
            <v>260</v>
          </cell>
          <cell r="H95">
            <v>195277</v>
          </cell>
          <cell r="I95">
            <v>112569</v>
          </cell>
          <cell r="J95">
            <v>328711</v>
          </cell>
          <cell r="K95">
            <v>180110</v>
          </cell>
          <cell r="M95">
            <v>90879</v>
          </cell>
          <cell r="N95">
            <v>67876</v>
          </cell>
          <cell r="O95">
            <v>81022</v>
          </cell>
          <cell r="S95">
            <v>78183</v>
          </cell>
          <cell r="T95">
            <v>60194</v>
          </cell>
          <cell r="U95">
            <v>202380</v>
          </cell>
          <cell r="V95">
            <v>112569</v>
          </cell>
          <cell r="AE95">
            <v>3287015</v>
          </cell>
          <cell r="AG95">
            <v>112569</v>
          </cell>
          <cell r="AH95">
            <v>337707</v>
          </cell>
          <cell r="AI95">
            <v>1463397</v>
          </cell>
          <cell r="AJ95">
            <v>74976</v>
          </cell>
          <cell r="AK95">
            <v>55015</v>
          </cell>
          <cell r="AM95">
            <v>1463397</v>
          </cell>
          <cell r="AP95">
            <v>337707</v>
          </cell>
          <cell r="AW95">
            <v>0</v>
          </cell>
          <cell r="AX95">
            <v>290650.59999999998</v>
          </cell>
          <cell r="AZ95">
            <v>0</v>
          </cell>
          <cell r="BQ95">
            <v>337707</v>
          </cell>
          <cell r="BS95">
            <v>23000</v>
          </cell>
          <cell r="BT95">
            <v>5000</v>
          </cell>
          <cell r="BU95">
            <v>355889</v>
          </cell>
          <cell r="BV95">
            <v>100000</v>
          </cell>
          <cell r="BY95">
            <v>5200</v>
          </cell>
          <cell r="BZ95">
            <v>5897</v>
          </cell>
          <cell r="CA95">
            <v>6410</v>
          </cell>
          <cell r="CB95">
            <v>6410</v>
          </cell>
          <cell r="CC95">
            <v>7372</v>
          </cell>
          <cell r="CD95">
            <v>12820</v>
          </cell>
          <cell r="CI95">
            <v>117087</v>
          </cell>
          <cell r="CM95">
            <v>64100</v>
          </cell>
          <cell r="CN95">
            <v>146176</v>
          </cell>
          <cell r="CO95">
            <v>8431</v>
          </cell>
          <cell r="CY95">
            <v>54600</v>
          </cell>
          <cell r="DA95">
            <v>224659</v>
          </cell>
          <cell r="DC95">
            <v>0</v>
          </cell>
          <cell r="DD95">
            <v>10412961.6</v>
          </cell>
          <cell r="DE95">
            <v>19.943330002948642</v>
          </cell>
          <cell r="DF95">
            <v>10412981.543330003</v>
          </cell>
          <cell r="DG95">
            <v>227737.43</v>
          </cell>
          <cell r="DH95">
            <v>359742</v>
          </cell>
          <cell r="DI95">
            <v>10412981.543330003</v>
          </cell>
          <cell r="DJ95">
            <v>11000460.973330002</v>
          </cell>
          <cell r="DK95">
            <v>5179351</v>
          </cell>
          <cell r="DL95">
            <v>658195</v>
          </cell>
          <cell r="DM95">
            <v>0</v>
          </cell>
          <cell r="DN95">
            <v>59800</v>
          </cell>
          <cell r="DO95">
            <v>598395</v>
          </cell>
          <cell r="DP95">
            <v>0.90914546600931334</v>
          </cell>
          <cell r="DQ95">
            <v>5038800</v>
          </cell>
          <cell r="DR95">
            <v>2043664</v>
          </cell>
          <cell r="DS95">
            <v>1801104</v>
          </cell>
          <cell r="DT95">
            <v>290650.59999999998</v>
          </cell>
          <cell r="DU95">
            <v>0</v>
          </cell>
          <cell r="DV95">
            <v>0</v>
          </cell>
          <cell r="DW95">
            <v>224659</v>
          </cell>
          <cell r="DX95">
            <v>355889</v>
          </cell>
          <cell r="DY95">
            <v>19.943330002948642</v>
          </cell>
          <cell r="DZ95">
            <v>587479.42999999993</v>
          </cell>
          <cell r="EA95">
            <v>598395</v>
          </cell>
          <cell r="EB95">
            <v>0.90914546600931334</v>
          </cell>
          <cell r="EC95">
            <v>0</v>
          </cell>
          <cell r="ED95">
            <v>59800</v>
          </cell>
          <cell r="EE95">
            <v>658195</v>
          </cell>
          <cell r="EF95">
            <v>11000461.882475467</v>
          </cell>
          <cell r="EH95">
            <v>5263478.9433300029</v>
          </cell>
          <cell r="EI95">
            <v>8211.355605819037</v>
          </cell>
          <cell r="EJ95">
            <v>7860.8735465366663</v>
          </cell>
          <cell r="EK95">
            <v>10188322.543330003</v>
          </cell>
          <cell r="EL95">
            <v>10772722</v>
          </cell>
          <cell r="EM95">
            <v>-584399.45666999742</v>
          </cell>
          <cell r="EN95">
            <v>-5.4248077381927932E-2</v>
          </cell>
          <cell r="EO95">
            <v>-359740.45666999742</v>
          </cell>
          <cell r="EP95">
            <v>227738.97333000228</v>
          </cell>
          <cell r="EQ95">
            <v>10122330.943330003</v>
          </cell>
          <cell r="ER95">
            <v>5850958.3733300027</v>
          </cell>
          <cell r="ES95">
            <v>9127.8601768018762</v>
          </cell>
          <cell r="ET95">
            <v>0</v>
          </cell>
          <cell r="EU95">
            <v>0</v>
          </cell>
          <cell r="EV95">
            <v>8211.355605819037</v>
          </cell>
          <cell r="EW95">
            <v>641</v>
          </cell>
        </row>
        <row r="96">
          <cell r="A96">
            <v>435</v>
          </cell>
          <cell r="B96" t="str">
            <v>McKinley MS</v>
          </cell>
          <cell r="C96" t="str">
            <v>MS</v>
          </cell>
          <cell r="D96">
            <v>5</v>
          </cell>
          <cell r="E96">
            <v>300</v>
          </cell>
          <cell r="F96">
            <v>0.60699999999999998</v>
          </cell>
          <cell r="G96">
            <v>182</v>
          </cell>
          <cell r="H96">
            <v>97639</v>
          </cell>
          <cell r="I96">
            <v>112569</v>
          </cell>
          <cell r="J96">
            <v>313058</v>
          </cell>
          <cell r="K96">
            <v>112569</v>
          </cell>
          <cell r="M96">
            <v>90879</v>
          </cell>
          <cell r="N96">
            <v>67876</v>
          </cell>
          <cell r="S96">
            <v>78183</v>
          </cell>
          <cell r="T96">
            <v>60194</v>
          </cell>
          <cell r="U96">
            <v>151785</v>
          </cell>
          <cell r="V96">
            <v>112569</v>
          </cell>
          <cell r="AE96">
            <v>1519682</v>
          </cell>
          <cell r="AG96">
            <v>112569</v>
          </cell>
          <cell r="AH96">
            <v>225138</v>
          </cell>
          <cell r="AI96">
            <v>900552</v>
          </cell>
          <cell r="AJ96">
            <v>112464</v>
          </cell>
          <cell r="AK96">
            <v>55015</v>
          </cell>
          <cell r="AM96">
            <v>112569</v>
          </cell>
          <cell r="AW96">
            <v>0</v>
          </cell>
          <cell r="AX96">
            <v>95580.28</v>
          </cell>
          <cell r="AZ96">
            <v>0</v>
          </cell>
          <cell r="BQ96">
            <v>225138</v>
          </cell>
          <cell r="BS96">
            <v>23000</v>
          </cell>
          <cell r="BT96">
            <v>5000</v>
          </cell>
          <cell r="BU96">
            <v>188124</v>
          </cell>
          <cell r="BV96">
            <v>100000</v>
          </cell>
          <cell r="BX96">
            <v>75000</v>
          </cell>
          <cell r="BY96">
            <v>3645</v>
          </cell>
          <cell r="BZ96">
            <v>2760</v>
          </cell>
          <cell r="CA96">
            <v>3000</v>
          </cell>
          <cell r="CB96">
            <v>3000</v>
          </cell>
          <cell r="CC96">
            <v>3450</v>
          </cell>
          <cell r="CD96">
            <v>6000</v>
          </cell>
          <cell r="CM96">
            <v>30000</v>
          </cell>
          <cell r="CN96">
            <v>73423</v>
          </cell>
          <cell r="CO96">
            <v>4085</v>
          </cell>
          <cell r="CY96">
            <v>42000</v>
          </cell>
          <cell r="DC96">
            <v>112569</v>
          </cell>
          <cell r="DD96">
            <v>5231084.28</v>
          </cell>
          <cell r="DE96">
            <v>8.4533329997211695</v>
          </cell>
          <cell r="DF96">
            <v>5231092.733333</v>
          </cell>
          <cell r="DG96">
            <v>117407.34</v>
          </cell>
          <cell r="DH96">
            <v>0</v>
          </cell>
          <cell r="DI96">
            <v>5231092.733333</v>
          </cell>
          <cell r="DJ96">
            <v>5348500.0733329998</v>
          </cell>
          <cell r="DK96">
            <v>2905697</v>
          </cell>
          <cell r="DL96">
            <v>460737</v>
          </cell>
          <cell r="DM96">
            <v>0</v>
          </cell>
          <cell r="DN96">
            <v>45645</v>
          </cell>
          <cell r="DO96">
            <v>415092</v>
          </cell>
          <cell r="DP96">
            <v>0.90093046575378144</v>
          </cell>
          <cell r="DQ96">
            <v>2780767</v>
          </cell>
          <cell r="DR96">
            <v>1405738</v>
          </cell>
          <cell r="DS96">
            <v>112569</v>
          </cell>
          <cell r="DT96">
            <v>170580.28</v>
          </cell>
          <cell r="DU96">
            <v>0</v>
          </cell>
          <cell r="DV96">
            <v>0</v>
          </cell>
          <cell r="DW96">
            <v>0</v>
          </cell>
          <cell r="DX96">
            <v>188124</v>
          </cell>
          <cell r="DY96">
            <v>112577.45333299972</v>
          </cell>
          <cell r="DZ96">
            <v>117407.34</v>
          </cell>
          <cell r="EA96">
            <v>415092</v>
          </cell>
          <cell r="EB96">
            <v>0.90093046575378144</v>
          </cell>
          <cell r="EC96">
            <v>0</v>
          </cell>
          <cell r="ED96">
            <v>45645</v>
          </cell>
          <cell r="EE96">
            <v>460737</v>
          </cell>
          <cell r="EF96">
            <v>5348500.974263466</v>
          </cell>
          <cell r="EH96">
            <v>2893344.4533329997</v>
          </cell>
          <cell r="EI96">
            <v>9644.4815111099997</v>
          </cell>
          <cell r="EJ96">
            <v>9269.2515111099983</v>
          </cell>
          <cell r="EK96">
            <v>5231092.733333</v>
          </cell>
          <cell r="EL96">
            <v>4643520</v>
          </cell>
          <cell r="EM96">
            <v>587572.73333299998</v>
          </cell>
          <cell r="EN96">
            <v>0.1265360617232186</v>
          </cell>
          <cell r="EO96">
            <v>587572.73333299998</v>
          </cell>
          <cell r="EP96">
            <v>704980.07333299983</v>
          </cell>
          <cell r="EQ96">
            <v>5060512.4533329997</v>
          </cell>
          <cell r="ER96">
            <v>3010751.7933329996</v>
          </cell>
          <cell r="ES96">
            <v>10035.839311109999</v>
          </cell>
          <cell r="ET96">
            <v>0</v>
          </cell>
          <cell r="EU96">
            <v>0</v>
          </cell>
          <cell r="EV96">
            <v>9644.4815111099997</v>
          </cell>
          <cell r="EW96">
            <v>300</v>
          </cell>
        </row>
        <row r="97">
          <cell r="A97">
            <v>427</v>
          </cell>
          <cell r="B97" t="str">
            <v>Sousa MS</v>
          </cell>
          <cell r="C97" t="str">
            <v>MS</v>
          </cell>
          <cell r="D97">
            <v>7</v>
          </cell>
          <cell r="E97">
            <v>276</v>
          </cell>
          <cell r="F97">
            <v>0.72499999999999998</v>
          </cell>
          <cell r="G97">
            <v>200</v>
          </cell>
          <cell r="H97">
            <v>195277</v>
          </cell>
          <cell r="I97">
            <v>112569</v>
          </cell>
          <cell r="J97">
            <v>140876</v>
          </cell>
          <cell r="K97">
            <v>112569</v>
          </cell>
          <cell r="M97">
            <v>45440</v>
          </cell>
          <cell r="N97">
            <v>67876</v>
          </cell>
          <cell r="S97">
            <v>78183</v>
          </cell>
          <cell r="T97">
            <v>60194</v>
          </cell>
          <cell r="U97">
            <v>151785</v>
          </cell>
          <cell r="V97">
            <v>56285</v>
          </cell>
          <cell r="W97">
            <v>112569.07</v>
          </cell>
          <cell r="AE97">
            <v>1407113</v>
          </cell>
          <cell r="AG97">
            <v>112569</v>
          </cell>
          <cell r="AH97">
            <v>112569</v>
          </cell>
          <cell r="AI97">
            <v>1238259</v>
          </cell>
          <cell r="AJ97">
            <v>224928</v>
          </cell>
          <cell r="AW97">
            <v>0</v>
          </cell>
          <cell r="AX97">
            <v>125149.6</v>
          </cell>
          <cell r="AZ97">
            <v>0</v>
          </cell>
          <cell r="BC97">
            <v>156529</v>
          </cell>
          <cell r="BQ97">
            <v>225138</v>
          </cell>
          <cell r="BS97">
            <v>23000</v>
          </cell>
          <cell r="BU97">
            <v>244046</v>
          </cell>
          <cell r="BV97">
            <v>100000</v>
          </cell>
          <cell r="BY97">
            <v>4022</v>
          </cell>
          <cell r="BZ97">
            <v>2539</v>
          </cell>
          <cell r="CA97">
            <v>2760</v>
          </cell>
          <cell r="CB97">
            <v>2760</v>
          </cell>
          <cell r="CC97">
            <v>3174</v>
          </cell>
          <cell r="CD97">
            <v>5520</v>
          </cell>
          <cell r="CM97">
            <v>27600</v>
          </cell>
          <cell r="CN97">
            <v>74937</v>
          </cell>
          <cell r="CO97">
            <v>5251</v>
          </cell>
          <cell r="CY97">
            <v>51750</v>
          </cell>
          <cell r="DA97">
            <v>80620</v>
          </cell>
          <cell r="DB97">
            <v>112569</v>
          </cell>
          <cell r="DC97">
            <v>56285</v>
          </cell>
          <cell r="DD97">
            <v>5532710.6699999999</v>
          </cell>
          <cell r="DE97">
            <v>-51277.876670000143</v>
          </cell>
          <cell r="DF97">
            <v>5481432.7933299998</v>
          </cell>
          <cell r="DG97">
            <v>128011.26</v>
          </cell>
          <cell r="DH97">
            <v>225138</v>
          </cell>
          <cell r="DI97">
            <v>5481432.7933299998</v>
          </cell>
          <cell r="DJ97">
            <v>5834582.0533299996</v>
          </cell>
          <cell r="DK97">
            <v>2723253.0700000003</v>
          </cell>
          <cell r="DL97">
            <v>506304</v>
          </cell>
          <cell r="DM97">
            <v>0</v>
          </cell>
          <cell r="DN97">
            <v>212301</v>
          </cell>
          <cell r="DO97">
            <v>294003</v>
          </cell>
          <cell r="DP97">
            <v>0.58068472696245732</v>
          </cell>
          <cell r="DQ97">
            <v>2831981.0700000003</v>
          </cell>
          <cell r="DR97">
            <v>1688325</v>
          </cell>
          <cell r="DS97">
            <v>0</v>
          </cell>
          <cell r="DT97">
            <v>125149.6</v>
          </cell>
          <cell r="DU97">
            <v>0</v>
          </cell>
          <cell r="DV97">
            <v>0</v>
          </cell>
          <cell r="DW97">
            <v>80620</v>
          </cell>
          <cell r="DX97">
            <v>244046</v>
          </cell>
          <cell r="DY97">
            <v>5007.1233299998567</v>
          </cell>
          <cell r="DZ97">
            <v>353149.26</v>
          </cell>
          <cell r="EA97">
            <v>294003</v>
          </cell>
          <cell r="EB97">
            <v>0.58068472696245732</v>
          </cell>
          <cell r="EC97">
            <v>0</v>
          </cell>
          <cell r="ED97">
            <v>212301</v>
          </cell>
          <cell r="EE97">
            <v>506304</v>
          </cell>
          <cell r="EF97">
            <v>5834582.6340147266</v>
          </cell>
          <cell r="EH97">
            <v>2917608.1933300002</v>
          </cell>
          <cell r="EI97">
            <v>10571.044178731885</v>
          </cell>
          <cell r="EJ97">
            <v>9667.152874384059</v>
          </cell>
          <cell r="EK97">
            <v>5400812.7933299998</v>
          </cell>
          <cell r="EL97">
            <v>5420162</v>
          </cell>
          <cell r="EM97">
            <v>-19349.206670000218</v>
          </cell>
          <cell r="EN97">
            <v>-3.5698576297166426E-3</v>
          </cell>
          <cell r="EO97">
            <v>61270.793329999782</v>
          </cell>
          <cell r="EP97">
            <v>414420.05332999956</v>
          </cell>
          <cell r="EQ97">
            <v>5356283.1933300002</v>
          </cell>
          <cell r="ER97">
            <v>3270757.4533299999</v>
          </cell>
          <cell r="ES97">
            <v>11850.570483079709</v>
          </cell>
          <cell r="ET97">
            <v>0</v>
          </cell>
          <cell r="EU97">
            <v>0</v>
          </cell>
          <cell r="EV97">
            <v>10571.044178731885</v>
          </cell>
          <cell r="EW97">
            <v>276</v>
          </cell>
        </row>
        <row r="98">
          <cell r="A98">
            <v>428</v>
          </cell>
          <cell r="B98" t="str">
            <v>Stuart-Hobson MS</v>
          </cell>
          <cell r="C98" t="str">
            <v>MS</v>
          </cell>
          <cell r="D98">
            <v>6</v>
          </cell>
          <cell r="E98">
            <v>507</v>
          </cell>
          <cell r="F98">
            <v>0.33500000000000002</v>
          </cell>
          <cell r="G98">
            <v>170</v>
          </cell>
          <cell r="H98">
            <v>195277</v>
          </cell>
          <cell r="I98">
            <v>112569</v>
          </cell>
          <cell r="J98">
            <v>266099</v>
          </cell>
          <cell r="K98">
            <v>146340</v>
          </cell>
          <cell r="M98">
            <v>90879</v>
          </cell>
          <cell r="N98">
            <v>67876</v>
          </cell>
          <cell r="O98">
            <v>65831</v>
          </cell>
          <cell r="S98">
            <v>78183</v>
          </cell>
          <cell r="T98">
            <v>60194</v>
          </cell>
          <cell r="U98">
            <v>202380</v>
          </cell>
          <cell r="V98">
            <v>112569</v>
          </cell>
          <cell r="AE98">
            <v>2589087</v>
          </cell>
          <cell r="AG98">
            <v>112569</v>
          </cell>
          <cell r="AH98">
            <v>225138</v>
          </cell>
          <cell r="AI98">
            <v>1013121</v>
          </cell>
          <cell r="AJ98">
            <v>112464</v>
          </cell>
          <cell r="AN98">
            <v>40525</v>
          </cell>
          <cell r="AW98">
            <v>0</v>
          </cell>
          <cell r="AX98">
            <v>92153.97</v>
          </cell>
          <cell r="AZ98">
            <v>0</v>
          </cell>
          <cell r="BB98">
            <v>112569</v>
          </cell>
          <cell r="BC98">
            <v>156529</v>
          </cell>
          <cell r="BQ98">
            <v>337707</v>
          </cell>
          <cell r="BS98">
            <v>23000</v>
          </cell>
          <cell r="BU98">
            <v>244046</v>
          </cell>
          <cell r="BV98">
            <v>100000</v>
          </cell>
          <cell r="BY98">
            <v>3405</v>
          </cell>
          <cell r="BZ98">
            <v>4664</v>
          </cell>
          <cell r="CA98">
            <v>5070</v>
          </cell>
          <cell r="CB98">
            <v>5070</v>
          </cell>
          <cell r="CC98">
            <v>5831</v>
          </cell>
          <cell r="CD98">
            <v>10140</v>
          </cell>
          <cell r="CM98">
            <v>50700</v>
          </cell>
          <cell r="CN98">
            <v>105228</v>
          </cell>
          <cell r="CO98">
            <v>8422</v>
          </cell>
          <cell r="CY98">
            <v>18000</v>
          </cell>
          <cell r="DC98">
            <v>-337602</v>
          </cell>
          <cell r="DD98">
            <v>6436033.9699999997</v>
          </cell>
          <cell r="DE98">
            <v>343021.97185911704</v>
          </cell>
          <cell r="DF98">
            <v>6779055.9418591168</v>
          </cell>
          <cell r="DG98">
            <v>128750.27</v>
          </cell>
          <cell r="DH98">
            <v>58065</v>
          </cell>
          <cell r="DI98">
            <v>6779055.9418591168</v>
          </cell>
          <cell r="DJ98">
            <v>6965871.2118591163</v>
          </cell>
          <cell r="DK98">
            <v>4302359</v>
          </cell>
          <cell r="DL98">
            <v>430358.5</v>
          </cell>
          <cell r="DM98">
            <v>0</v>
          </cell>
          <cell r="DN98">
            <v>177934</v>
          </cell>
          <cell r="DO98">
            <v>252424.5</v>
          </cell>
          <cell r="DP98">
            <v>0.58654470633204647</v>
          </cell>
          <cell r="DQ98">
            <v>4503260.5</v>
          </cell>
          <cell r="DR98">
            <v>1463292</v>
          </cell>
          <cell r="DS98">
            <v>40525</v>
          </cell>
          <cell r="DT98">
            <v>92153.97</v>
          </cell>
          <cell r="DU98">
            <v>0</v>
          </cell>
          <cell r="DV98">
            <v>0</v>
          </cell>
          <cell r="DW98">
            <v>0</v>
          </cell>
          <cell r="DX98">
            <v>244046</v>
          </cell>
          <cell r="DY98">
            <v>5419.9718591170385</v>
          </cell>
          <cell r="DZ98">
            <v>186815.27000000002</v>
          </cell>
          <cell r="EA98">
            <v>252424.5</v>
          </cell>
          <cell r="EB98">
            <v>0.58654470633204647</v>
          </cell>
          <cell r="EC98">
            <v>0</v>
          </cell>
          <cell r="ED98">
            <v>177934</v>
          </cell>
          <cell r="EE98">
            <v>430358.5</v>
          </cell>
          <cell r="EF98">
            <v>6965871.7984038228</v>
          </cell>
          <cell r="EH98">
            <v>4508680.471859117</v>
          </cell>
          <cell r="EI98">
            <v>8892.8608912408617</v>
          </cell>
          <cell r="EJ98">
            <v>9558.742548045595</v>
          </cell>
          <cell r="EK98">
            <v>6779055.9418591168</v>
          </cell>
          <cell r="EL98">
            <v>6622679</v>
          </cell>
          <cell r="EM98">
            <v>156376.94185911678</v>
          </cell>
          <cell r="EN98">
            <v>2.3612339033662475E-2</v>
          </cell>
          <cell r="EO98">
            <v>156376.94185911678</v>
          </cell>
          <cell r="EP98">
            <v>343192.21185911633</v>
          </cell>
          <cell r="EQ98">
            <v>6686901.971859117</v>
          </cell>
          <cell r="ER98">
            <v>4695495.7418591175</v>
          </cell>
          <cell r="ES98">
            <v>9261.332824179719</v>
          </cell>
          <cell r="ET98">
            <v>0</v>
          </cell>
          <cell r="EU98">
            <v>0</v>
          </cell>
          <cell r="EV98">
            <v>8892.8608912408617</v>
          </cell>
          <cell r="EW98">
            <v>507</v>
          </cell>
        </row>
        <row r="99">
          <cell r="A99">
            <v>454</v>
          </cell>
          <cell r="B99" t="str">
            <v>Cardozo EC</v>
          </cell>
          <cell r="C99" t="str">
            <v>EC2</v>
          </cell>
          <cell r="D99">
            <v>1</v>
          </cell>
          <cell r="E99">
            <v>640</v>
          </cell>
          <cell r="F99">
            <v>0.79400000000000004</v>
          </cell>
          <cell r="G99">
            <v>508</v>
          </cell>
          <cell r="H99">
            <v>195277</v>
          </cell>
          <cell r="I99">
            <v>112569</v>
          </cell>
          <cell r="J99">
            <v>328711</v>
          </cell>
          <cell r="K99">
            <v>112569</v>
          </cell>
          <cell r="L99">
            <v>254496</v>
          </cell>
          <cell r="M99">
            <v>90879</v>
          </cell>
          <cell r="N99">
            <v>67876</v>
          </cell>
          <cell r="O99">
            <v>81022</v>
          </cell>
          <cell r="P99">
            <v>56854</v>
          </cell>
          <cell r="Q99">
            <v>69509</v>
          </cell>
          <cell r="S99">
            <v>78183</v>
          </cell>
          <cell r="T99">
            <v>60194</v>
          </cell>
          <cell r="U99">
            <v>404760</v>
          </cell>
          <cell r="V99">
            <v>112569</v>
          </cell>
          <cell r="AE99">
            <v>3001840.4000000004</v>
          </cell>
          <cell r="AF99">
            <v>645395.59999999974</v>
          </cell>
          <cell r="AG99">
            <v>112569</v>
          </cell>
          <cell r="AH99">
            <v>562845</v>
          </cell>
          <cell r="AI99">
            <v>2476518</v>
          </cell>
          <cell r="AJ99">
            <v>487344</v>
          </cell>
          <cell r="AK99">
            <v>110030</v>
          </cell>
          <cell r="AM99">
            <v>1463397</v>
          </cell>
          <cell r="AQ99">
            <v>254496</v>
          </cell>
          <cell r="AU99">
            <v>65000</v>
          </cell>
          <cell r="AW99">
            <v>0</v>
          </cell>
          <cell r="AX99">
            <v>500376.55000000005</v>
          </cell>
          <cell r="AZ99">
            <v>0</v>
          </cell>
          <cell r="BC99">
            <v>156529</v>
          </cell>
          <cell r="BG99">
            <v>156529</v>
          </cell>
          <cell r="BH99">
            <v>14216</v>
          </cell>
          <cell r="BI99">
            <v>11000</v>
          </cell>
          <cell r="BJ99">
            <v>32000</v>
          </cell>
          <cell r="BK99">
            <v>225138</v>
          </cell>
          <cell r="BM99">
            <v>144306</v>
          </cell>
          <cell r="BP99">
            <v>112569</v>
          </cell>
          <cell r="BQ99">
            <v>225138</v>
          </cell>
          <cell r="BS99">
            <v>23000</v>
          </cell>
          <cell r="BT99">
            <v>5000</v>
          </cell>
          <cell r="BU99">
            <v>676216</v>
          </cell>
          <cell r="BV99">
            <v>100000</v>
          </cell>
          <cell r="BW99">
            <v>117087</v>
          </cell>
          <cell r="BX99">
            <v>75000</v>
          </cell>
          <cell r="BY99">
            <v>20358</v>
          </cell>
          <cell r="BZ99">
            <v>14138</v>
          </cell>
          <cell r="CA99">
            <v>8510</v>
          </cell>
          <cell r="CB99">
            <v>8510</v>
          </cell>
          <cell r="CC99">
            <v>17066</v>
          </cell>
          <cell r="CD99">
            <v>12800</v>
          </cell>
          <cell r="CE99">
            <v>117087</v>
          </cell>
          <cell r="CK99">
            <v>5000</v>
          </cell>
          <cell r="CL99">
            <v>113946</v>
          </cell>
          <cell r="CM99">
            <v>64000</v>
          </cell>
          <cell r="CN99">
            <v>192687</v>
          </cell>
          <cell r="CO99">
            <v>17336</v>
          </cell>
          <cell r="CY99">
            <v>58125</v>
          </cell>
          <cell r="DA99">
            <v>1207628</v>
          </cell>
          <cell r="DC99">
            <v>225137</v>
          </cell>
          <cell r="DD99">
            <v>15861335.550000001</v>
          </cell>
          <cell r="DE99">
            <v>-210329.14667000249</v>
          </cell>
          <cell r="DF99">
            <v>15651006.403329998</v>
          </cell>
          <cell r="DG99">
            <v>261511.39</v>
          </cell>
          <cell r="DH99">
            <v>426169</v>
          </cell>
          <cell r="DI99">
            <v>15651006.403329998</v>
          </cell>
          <cell r="DJ99">
            <v>16338686.793329999</v>
          </cell>
          <cell r="DK99">
            <v>5514581.4000000004</v>
          </cell>
          <cell r="DL99">
            <v>1425811</v>
          </cell>
          <cell r="DM99">
            <v>65000</v>
          </cell>
          <cell r="DN99">
            <v>1355545.5999999996</v>
          </cell>
          <cell r="DO99">
            <v>5265.4000000003725</v>
          </cell>
          <cell r="DP99">
            <v>3.692915821241646E-3</v>
          </cell>
          <cell r="DQ99">
            <v>6283968</v>
          </cell>
          <cell r="DR99">
            <v>3749306</v>
          </cell>
          <cell r="DS99">
            <v>1717893</v>
          </cell>
          <cell r="DT99">
            <v>575376.55000000005</v>
          </cell>
          <cell r="DU99">
            <v>0</v>
          </cell>
          <cell r="DV99">
            <v>0</v>
          </cell>
          <cell r="DW99">
            <v>1207628</v>
          </cell>
          <cell r="DX99">
            <v>676216</v>
          </cell>
          <cell r="DY99">
            <v>14807.85332999751</v>
          </cell>
          <cell r="DZ99">
            <v>687680.39</v>
          </cell>
          <cell r="EA99">
            <v>5265.4000000003725</v>
          </cell>
          <cell r="EB99">
            <v>3.692915821241646E-3</v>
          </cell>
          <cell r="EC99">
            <v>65000</v>
          </cell>
          <cell r="ED99">
            <v>1355545.5999999996</v>
          </cell>
          <cell r="EE99">
            <v>1425811</v>
          </cell>
          <cell r="EF99">
            <v>16338686.797022915</v>
          </cell>
          <cell r="EH99">
            <v>7506403.8533299975</v>
          </cell>
          <cell r="EI99">
            <v>11728.756020828121</v>
          </cell>
          <cell r="EJ99">
            <v>9490.0607083281211</v>
          </cell>
          <cell r="EK99">
            <v>14443378.403329998</v>
          </cell>
          <cell r="EL99">
            <v>15863019</v>
          </cell>
          <cell r="EM99">
            <v>-1419640.5966700017</v>
          </cell>
          <cell r="EN99">
            <v>-8.949372100417971E-2</v>
          </cell>
          <cell r="EO99">
            <v>-212012.59667000175</v>
          </cell>
          <cell r="EP99">
            <v>475667.79332999885</v>
          </cell>
          <cell r="EQ99">
            <v>15075629.853329998</v>
          </cell>
          <cell r="ER99">
            <v>8194084.2433299972</v>
          </cell>
          <cell r="ES99">
            <v>12803.256630203121</v>
          </cell>
          <cell r="ET99">
            <v>0</v>
          </cell>
          <cell r="EU99">
            <v>0</v>
          </cell>
          <cell r="EV99">
            <v>11728.756020828121</v>
          </cell>
          <cell r="EW99">
            <v>640</v>
          </cell>
        </row>
        <row r="100">
          <cell r="A100">
            <v>442</v>
          </cell>
          <cell r="B100" t="str">
            <v>Columbia Heights EC (CHEC)</v>
          </cell>
          <cell r="C100" t="str">
            <v>EC2</v>
          </cell>
          <cell r="D100">
            <v>1</v>
          </cell>
          <cell r="E100">
            <v>1500</v>
          </cell>
          <cell r="F100">
            <v>0.56399999999999995</v>
          </cell>
          <cell r="G100">
            <v>846</v>
          </cell>
          <cell r="H100">
            <v>195277</v>
          </cell>
          <cell r="I100">
            <v>112569</v>
          </cell>
          <cell r="J100">
            <v>782645</v>
          </cell>
          <cell r="K100">
            <v>146340</v>
          </cell>
          <cell r="L100">
            <v>508992</v>
          </cell>
          <cell r="M100">
            <v>90879</v>
          </cell>
          <cell r="N100">
            <v>67876</v>
          </cell>
          <cell r="O100">
            <v>192428</v>
          </cell>
          <cell r="P100">
            <v>56854</v>
          </cell>
          <cell r="Q100">
            <v>69509</v>
          </cell>
          <cell r="S100">
            <v>78183</v>
          </cell>
          <cell r="T100">
            <v>60194</v>
          </cell>
          <cell r="U100">
            <v>505950</v>
          </cell>
          <cell r="V100">
            <v>112569</v>
          </cell>
          <cell r="AE100">
            <v>7035562.8999999994</v>
          </cell>
          <cell r="AF100">
            <v>213881.10000000065</v>
          </cell>
          <cell r="AG100">
            <v>337707</v>
          </cell>
          <cell r="AH100">
            <v>562845</v>
          </cell>
          <cell r="AI100">
            <v>2589087</v>
          </cell>
          <cell r="AJ100">
            <v>37488</v>
          </cell>
          <cell r="AM100">
            <v>3039363</v>
          </cell>
          <cell r="AO100">
            <v>74976</v>
          </cell>
          <cell r="AQ100">
            <v>636240</v>
          </cell>
          <cell r="AU100">
            <v>80000</v>
          </cell>
          <cell r="AW100">
            <v>0</v>
          </cell>
          <cell r="AX100">
            <v>520889.36</v>
          </cell>
          <cell r="AZ100">
            <v>18706</v>
          </cell>
          <cell r="BJ100">
            <v>43000</v>
          </cell>
          <cell r="BK100">
            <v>225138</v>
          </cell>
          <cell r="BM100">
            <v>288612</v>
          </cell>
          <cell r="BQ100">
            <v>337707</v>
          </cell>
          <cell r="BS100">
            <v>23000</v>
          </cell>
          <cell r="BT100">
            <v>5000</v>
          </cell>
          <cell r="BU100">
            <v>676216</v>
          </cell>
          <cell r="BV100">
            <v>100000</v>
          </cell>
          <cell r="BW100">
            <v>117087</v>
          </cell>
          <cell r="BY100">
            <v>16927</v>
          </cell>
          <cell r="BZ100">
            <v>33018</v>
          </cell>
          <cell r="CA100">
            <v>19915</v>
          </cell>
          <cell r="CB100">
            <v>19915</v>
          </cell>
          <cell r="CC100">
            <v>39859</v>
          </cell>
          <cell r="CD100">
            <v>30000</v>
          </cell>
          <cell r="CE100">
            <v>117087</v>
          </cell>
          <cell r="CM100">
            <v>150000</v>
          </cell>
          <cell r="CN100">
            <v>292687</v>
          </cell>
          <cell r="CO100">
            <v>27976</v>
          </cell>
          <cell r="CU100">
            <v>360000</v>
          </cell>
          <cell r="CY100">
            <v>67275</v>
          </cell>
          <cell r="DC100">
            <v>225138</v>
          </cell>
          <cell r="DD100">
            <v>21342567.359999999</v>
          </cell>
          <cell r="DE100">
            <v>74121.910000000149</v>
          </cell>
          <cell r="DF100">
            <v>21416689.27</v>
          </cell>
          <cell r="DG100">
            <v>569787.63</v>
          </cell>
          <cell r="DH100">
            <v>225138</v>
          </cell>
          <cell r="DI100">
            <v>21416689.27</v>
          </cell>
          <cell r="DJ100">
            <v>22211614.899999999</v>
          </cell>
          <cell r="DK100">
            <v>10792802.899999999</v>
          </cell>
          <cell r="DL100">
            <v>2374479.5</v>
          </cell>
          <cell r="DM100">
            <v>80000</v>
          </cell>
          <cell r="DN100">
            <v>746782.10000000068</v>
          </cell>
          <cell r="DO100">
            <v>1547697.3999999994</v>
          </cell>
          <cell r="DP100">
            <v>0.65180491135004515</v>
          </cell>
          <cell r="DQ100">
            <v>9889432.5</v>
          </cell>
          <cell r="DR100">
            <v>3527127</v>
          </cell>
          <cell r="DS100">
            <v>3750579</v>
          </cell>
          <cell r="DT100">
            <v>539595.36</v>
          </cell>
          <cell r="DU100">
            <v>360000</v>
          </cell>
          <cell r="DV100">
            <v>0</v>
          </cell>
          <cell r="DW100">
            <v>0</v>
          </cell>
          <cell r="DX100">
            <v>676216</v>
          </cell>
          <cell r="DY100">
            <v>299259.91000000015</v>
          </cell>
          <cell r="DZ100">
            <v>794925.63</v>
          </cell>
          <cell r="EA100">
            <v>1547697.3999999994</v>
          </cell>
          <cell r="EB100">
            <v>0.65180491135004515</v>
          </cell>
          <cell r="EC100">
            <v>80000</v>
          </cell>
          <cell r="ED100">
            <v>746782.10000000068</v>
          </cell>
          <cell r="EE100">
            <v>2374479.5</v>
          </cell>
          <cell r="EF100">
            <v>22211615.551804911</v>
          </cell>
          <cell r="EH100">
            <v>10548692.41</v>
          </cell>
          <cell r="EI100">
            <v>7032.4616066666667</v>
          </cell>
          <cell r="EJ100">
            <v>6882.3696066666671</v>
          </cell>
          <cell r="EK100">
            <v>21416689.27</v>
          </cell>
          <cell r="EL100">
            <v>21456888</v>
          </cell>
          <cell r="EM100">
            <v>-40198.730000000447</v>
          </cell>
          <cell r="EN100">
            <v>-1.8734650616622711E-3</v>
          </cell>
          <cell r="EO100">
            <v>-40198.730000000447</v>
          </cell>
          <cell r="EP100">
            <v>754726.89999999851</v>
          </cell>
          <cell r="EQ100">
            <v>20877093.91</v>
          </cell>
          <cell r="ER100">
            <v>11343618.040000001</v>
          </cell>
          <cell r="ES100">
            <v>7562.4120266666669</v>
          </cell>
          <cell r="ET100">
            <v>0</v>
          </cell>
          <cell r="EU100">
            <v>0</v>
          </cell>
          <cell r="EV100">
            <v>7032.4616066666667</v>
          </cell>
          <cell r="EW100">
            <v>1500</v>
          </cell>
        </row>
        <row r="101">
          <cell r="A101">
            <v>450</v>
          </cell>
          <cell r="B101" t="str">
            <v>Anacostia HS</v>
          </cell>
          <cell r="C101" t="str">
            <v>HS</v>
          </cell>
          <cell r="D101">
            <v>8</v>
          </cell>
          <cell r="E101">
            <v>357</v>
          </cell>
          <cell r="F101">
            <v>0.83499999999999996</v>
          </cell>
          <cell r="G101">
            <v>298</v>
          </cell>
          <cell r="H101">
            <v>195277</v>
          </cell>
          <cell r="I101">
            <v>112569</v>
          </cell>
          <cell r="J101">
            <v>187835</v>
          </cell>
          <cell r="L101">
            <v>190872</v>
          </cell>
          <cell r="M101">
            <v>90879</v>
          </cell>
          <cell r="N101">
            <v>67876</v>
          </cell>
          <cell r="P101">
            <v>56854</v>
          </cell>
          <cell r="Q101">
            <v>69509</v>
          </cell>
          <cell r="R101">
            <v>69509</v>
          </cell>
          <cell r="S101">
            <v>78183</v>
          </cell>
          <cell r="T101">
            <v>60194</v>
          </cell>
          <cell r="U101">
            <v>303570</v>
          </cell>
          <cell r="V101">
            <v>112569</v>
          </cell>
          <cell r="AE101">
            <v>1674463.7949999999</v>
          </cell>
          <cell r="AF101">
            <v>1063214.2050000001</v>
          </cell>
          <cell r="AG101">
            <v>112569</v>
          </cell>
          <cell r="AH101">
            <v>450276</v>
          </cell>
          <cell r="AI101">
            <v>1575966</v>
          </cell>
          <cell r="AJ101">
            <v>374880</v>
          </cell>
          <cell r="AK101">
            <v>110030</v>
          </cell>
          <cell r="AN101">
            <v>5628</v>
          </cell>
          <cell r="AU101">
            <v>60000</v>
          </cell>
          <cell r="AW101">
            <v>0</v>
          </cell>
          <cell r="AX101">
            <v>382054.5</v>
          </cell>
          <cell r="AZ101">
            <v>0</v>
          </cell>
          <cell r="BG101">
            <v>156529</v>
          </cell>
          <cell r="BH101">
            <v>9336</v>
          </cell>
          <cell r="BI101">
            <v>25880</v>
          </cell>
          <cell r="BJ101">
            <v>32000</v>
          </cell>
          <cell r="BM101">
            <v>144306</v>
          </cell>
          <cell r="BU101">
            <v>615454</v>
          </cell>
          <cell r="BW101">
            <v>117087</v>
          </cell>
          <cell r="BX101">
            <v>75000</v>
          </cell>
          <cell r="BY101">
            <v>11972</v>
          </cell>
          <cell r="BZ101">
            <v>10264</v>
          </cell>
          <cell r="CA101">
            <v>5355</v>
          </cell>
          <cell r="CB101">
            <v>5355</v>
          </cell>
          <cell r="CC101">
            <v>12317</v>
          </cell>
          <cell r="CD101">
            <v>7140</v>
          </cell>
          <cell r="CE101">
            <v>117087</v>
          </cell>
          <cell r="CM101">
            <v>35700</v>
          </cell>
          <cell r="CN101">
            <v>115863</v>
          </cell>
          <cell r="CO101">
            <v>9959</v>
          </cell>
          <cell r="CY101">
            <v>10725</v>
          </cell>
          <cell r="DA101">
            <v>166560</v>
          </cell>
          <cell r="DC101">
            <v>117086</v>
          </cell>
          <cell r="DD101">
            <v>9205752.5</v>
          </cell>
          <cell r="DE101">
            <v>-220639.27732389607</v>
          </cell>
          <cell r="DF101">
            <v>8985113.2226761039</v>
          </cell>
          <cell r="DG101">
            <v>174913.35</v>
          </cell>
          <cell r="DH101">
            <v>50639</v>
          </cell>
          <cell r="DI101">
            <v>8985113.2226761039</v>
          </cell>
          <cell r="DJ101">
            <v>9210665.5726761036</v>
          </cell>
          <cell r="DK101">
            <v>3077743.7949999999</v>
          </cell>
          <cell r="DL101">
            <v>836401</v>
          </cell>
          <cell r="DM101">
            <v>60000</v>
          </cell>
          <cell r="DN101">
            <v>1640558.2050000001</v>
          </cell>
          <cell r="DO101">
            <v>-864157.20500000007</v>
          </cell>
          <cell r="DP101">
            <v>-1.0331852843313196</v>
          </cell>
          <cell r="DQ101">
            <v>4383848</v>
          </cell>
          <cell r="DR101">
            <v>2623721</v>
          </cell>
          <cell r="DS101">
            <v>5628</v>
          </cell>
          <cell r="DT101">
            <v>457054.5</v>
          </cell>
          <cell r="DU101">
            <v>0</v>
          </cell>
          <cell r="DV101">
            <v>0</v>
          </cell>
          <cell r="DW101">
            <v>166560</v>
          </cell>
          <cell r="DX101">
            <v>615454</v>
          </cell>
          <cell r="DY101">
            <v>-103553.27732389607</v>
          </cell>
          <cell r="DZ101">
            <v>225552.35</v>
          </cell>
          <cell r="EA101">
            <v>-864157.20500000007</v>
          </cell>
          <cell r="EB101">
            <v>-1.0331852843313196</v>
          </cell>
          <cell r="EC101">
            <v>60000</v>
          </cell>
          <cell r="ED101">
            <v>1640558.2050000001</v>
          </cell>
          <cell r="EE101">
            <v>836401</v>
          </cell>
          <cell r="EF101">
            <v>9210664.539490819</v>
          </cell>
          <cell r="EH101">
            <v>4446854.7226761039</v>
          </cell>
          <cell r="EI101">
            <v>12456.1756937706</v>
          </cell>
          <cell r="EJ101">
            <v>11661.649083126342</v>
          </cell>
          <cell r="EK101">
            <v>8818553.2226761039</v>
          </cell>
          <cell r="EL101">
            <v>8862227</v>
          </cell>
          <cell r="EM101">
            <v>-43673.777323896065</v>
          </cell>
          <cell r="EN101">
            <v>-4.9280815447286632E-3</v>
          </cell>
          <cell r="EO101">
            <v>122886.22267610393</v>
          </cell>
          <cell r="EP101">
            <v>348438.57267610356</v>
          </cell>
          <cell r="EQ101">
            <v>8528058.7226761039</v>
          </cell>
          <cell r="ER101">
            <v>4672407.0726761036</v>
          </cell>
          <cell r="ES101">
            <v>13087.974993490487</v>
          </cell>
          <cell r="ET101">
            <v>0</v>
          </cell>
          <cell r="EU101">
            <v>0</v>
          </cell>
          <cell r="EV101">
            <v>12456.1756937706</v>
          </cell>
          <cell r="EW101">
            <v>357</v>
          </cell>
        </row>
        <row r="102">
          <cell r="A102">
            <v>452</v>
          </cell>
          <cell r="B102" t="str">
            <v>Ballou HS</v>
          </cell>
          <cell r="C102" t="str">
            <v>HS</v>
          </cell>
          <cell r="D102">
            <v>8</v>
          </cell>
          <cell r="E102">
            <v>698</v>
          </cell>
          <cell r="F102">
            <v>0.85099999999999998</v>
          </cell>
          <cell r="G102">
            <v>594</v>
          </cell>
          <cell r="H102">
            <v>195277</v>
          </cell>
          <cell r="I102">
            <v>112569</v>
          </cell>
          <cell r="J102">
            <v>360017</v>
          </cell>
          <cell r="L102">
            <v>381744</v>
          </cell>
          <cell r="M102">
            <v>90879</v>
          </cell>
          <cell r="N102">
            <v>67876</v>
          </cell>
          <cell r="O102">
            <v>86086</v>
          </cell>
          <cell r="P102">
            <v>56854</v>
          </cell>
          <cell r="Q102">
            <v>69509</v>
          </cell>
          <cell r="R102">
            <v>69509</v>
          </cell>
          <cell r="S102">
            <v>78183</v>
          </cell>
          <cell r="T102">
            <v>60194</v>
          </cell>
          <cell r="U102">
            <v>455355</v>
          </cell>
          <cell r="V102">
            <v>112569</v>
          </cell>
          <cell r="AE102">
            <v>3273881.5399999996</v>
          </cell>
          <cell r="AF102">
            <v>1239009.4600000004</v>
          </cell>
          <cell r="AG102">
            <v>225138</v>
          </cell>
          <cell r="AH102">
            <v>562845</v>
          </cell>
          <cell r="AI102">
            <v>2026242</v>
          </cell>
          <cell r="AJ102">
            <v>262416</v>
          </cell>
          <cell r="AK102">
            <v>110030</v>
          </cell>
          <cell r="AM102">
            <v>112569</v>
          </cell>
          <cell r="AU102">
            <v>70000</v>
          </cell>
          <cell r="AW102">
            <v>0</v>
          </cell>
          <cell r="AX102">
            <v>546672.42000000004</v>
          </cell>
          <cell r="AZ102">
            <v>25702</v>
          </cell>
          <cell r="BG102">
            <v>156529</v>
          </cell>
          <cell r="BH102">
            <v>23216</v>
          </cell>
          <cell r="BI102">
            <v>22000</v>
          </cell>
          <cell r="BJ102">
            <v>32000</v>
          </cell>
          <cell r="BM102">
            <v>288612</v>
          </cell>
          <cell r="BN102">
            <v>117087</v>
          </cell>
          <cell r="BP102">
            <v>112569</v>
          </cell>
          <cell r="BU102">
            <v>732138</v>
          </cell>
          <cell r="BW102">
            <v>117087</v>
          </cell>
          <cell r="BX102">
            <v>75000</v>
          </cell>
          <cell r="BY102">
            <v>23798</v>
          </cell>
          <cell r="BZ102">
            <v>20068</v>
          </cell>
          <cell r="CA102">
            <v>10470</v>
          </cell>
          <cell r="CB102">
            <v>10470</v>
          </cell>
          <cell r="CC102">
            <v>24081</v>
          </cell>
          <cell r="CD102">
            <v>13960</v>
          </cell>
          <cell r="CE102">
            <v>117087</v>
          </cell>
          <cell r="CK102">
            <v>5000</v>
          </cell>
          <cell r="CL102">
            <v>113946</v>
          </cell>
          <cell r="CM102">
            <v>69800</v>
          </cell>
          <cell r="CN102">
            <v>166731</v>
          </cell>
          <cell r="CO102">
            <v>13909</v>
          </cell>
          <cell r="CY102">
            <v>44625</v>
          </cell>
          <cell r="DC102">
            <v>0</v>
          </cell>
          <cell r="DD102">
            <v>12961309.42</v>
          </cell>
          <cell r="DE102">
            <v>-229700.23333000019</v>
          </cell>
          <cell r="DF102">
            <v>12731609.18667</v>
          </cell>
          <cell r="DG102">
            <v>365689.27</v>
          </cell>
          <cell r="DH102">
            <v>292718</v>
          </cell>
          <cell r="DI102">
            <v>12731609.18667</v>
          </cell>
          <cell r="DJ102">
            <v>13390016.456669999</v>
          </cell>
          <cell r="DK102">
            <v>5253837.5399999991</v>
          </cell>
          <cell r="DL102">
            <v>1667189</v>
          </cell>
          <cell r="DM102">
            <v>70000</v>
          </cell>
          <cell r="DN102">
            <v>2133472.4600000004</v>
          </cell>
          <cell r="DO102">
            <v>-536283.46000000043</v>
          </cell>
          <cell r="DP102">
            <v>-0.3216692648523955</v>
          </cell>
          <cell r="DQ102">
            <v>6615368</v>
          </cell>
          <cell r="DR102">
            <v>3186671</v>
          </cell>
          <cell r="DS102">
            <v>112569</v>
          </cell>
          <cell r="DT102">
            <v>647374.42000000004</v>
          </cell>
          <cell r="DU102">
            <v>0</v>
          </cell>
          <cell r="DV102">
            <v>0</v>
          </cell>
          <cell r="DW102">
            <v>0</v>
          </cell>
          <cell r="DX102">
            <v>732138</v>
          </cell>
          <cell r="DY102">
            <v>-229700.23333000019</v>
          </cell>
          <cell r="DZ102">
            <v>658407.27</v>
          </cell>
          <cell r="EA102">
            <v>-536283.46000000043</v>
          </cell>
          <cell r="EB102">
            <v>-0.3216692648523955</v>
          </cell>
          <cell r="EC102">
            <v>70000</v>
          </cell>
          <cell r="ED102">
            <v>2133472.4600000004</v>
          </cell>
          <cell r="EE102">
            <v>1667189</v>
          </cell>
          <cell r="EF102">
            <v>13390016.135000734</v>
          </cell>
          <cell r="EH102">
            <v>6385667.7666699998</v>
          </cell>
          <cell r="EI102">
            <v>9148.5211556876784</v>
          </cell>
          <cell r="EJ102">
            <v>9148.5211556876784</v>
          </cell>
          <cell r="EK102">
            <v>12731609.18667</v>
          </cell>
          <cell r="EL102">
            <v>12426145</v>
          </cell>
          <cell r="EM102">
            <v>305464.18666999973</v>
          </cell>
          <cell r="EN102">
            <v>2.458237745254057E-2</v>
          </cell>
          <cell r="EO102">
            <v>305464.18666999973</v>
          </cell>
          <cell r="EP102">
            <v>963871.45666999929</v>
          </cell>
          <cell r="EQ102">
            <v>12084234.76667</v>
          </cell>
          <cell r="ER102">
            <v>7044075.0366699994</v>
          </cell>
          <cell r="ES102">
            <v>10091.798046805157</v>
          </cell>
          <cell r="ET102">
            <v>0</v>
          </cell>
          <cell r="EU102">
            <v>0</v>
          </cell>
          <cell r="EV102">
            <v>9148.5211556876784</v>
          </cell>
          <cell r="EW102">
            <v>698</v>
          </cell>
        </row>
        <row r="103">
          <cell r="A103">
            <v>1058</v>
          </cell>
          <cell r="B103" t="str">
            <v>Bard Early College HS</v>
          </cell>
          <cell r="C103" t="str">
            <v>HS</v>
          </cell>
          <cell r="D103">
            <v>7</v>
          </cell>
          <cell r="E103">
            <v>385</v>
          </cell>
          <cell r="F103">
            <v>0.55100000000000005</v>
          </cell>
          <cell r="G103">
            <v>212</v>
          </cell>
          <cell r="H103">
            <v>195277</v>
          </cell>
          <cell r="I103">
            <v>112569</v>
          </cell>
          <cell r="J103">
            <v>203488</v>
          </cell>
          <cell r="L103">
            <v>254496</v>
          </cell>
          <cell r="M103">
            <v>90879</v>
          </cell>
          <cell r="N103">
            <v>67876</v>
          </cell>
          <cell r="P103">
            <v>56854</v>
          </cell>
          <cell r="Q103">
            <v>69509</v>
          </cell>
          <cell r="S103">
            <v>78183</v>
          </cell>
          <cell r="T103">
            <v>60194</v>
          </cell>
          <cell r="U103">
            <v>101190</v>
          </cell>
          <cell r="V103">
            <v>112569</v>
          </cell>
          <cell r="AE103">
            <v>1801104</v>
          </cell>
          <cell r="AF103">
            <v>0</v>
          </cell>
          <cell r="AG103">
            <v>112569</v>
          </cell>
          <cell r="AH103">
            <v>112569</v>
          </cell>
          <cell r="AI103">
            <v>225138</v>
          </cell>
          <cell r="AN103">
            <v>20262</v>
          </cell>
          <cell r="AU103">
            <v>25000</v>
          </cell>
          <cell r="AW103">
            <v>0</v>
          </cell>
          <cell r="AX103">
            <v>127469.34000000001</v>
          </cell>
          <cell r="AZ103">
            <v>0</v>
          </cell>
          <cell r="BU103">
            <v>188124</v>
          </cell>
          <cell r="BW103">
            <v>117087</v>
          </cell>
          <cell r="BZ103">
            <v>11069</v>
          </cell>
          <cell r="CA103">
            <v>5775</v>
          </cell>
          <cell r="CB103">
            <v>5775</v>
          </cell>
          <cell r="CC103">
            <v>13283</v>
          </cell>
          <cell r="CD103">
            <v>7700</v>
          </cell>
          <cell r="CM103">
            <v>38500</v>
          </cell>
          <cell r="CN103">
            <v>61052</v>
          </cell>
          <cell r="CO103">
            <v>6327</v>
          </cell>
          <cell r="CU103">
            <v>800000</v>
          </cell>
          <cell r="CY103">
            <v>18152</v>
          </cell>
          <cell r="DC103">
            <v>56285</v>
          </cell>
          <cell r="DD103">
            <v>5156324.34</v>
          </cell>
          <cell r="DE103">
            <v>209.74092955794185</v>
          </cell>
          <cell r="DF103">
            <v>5156534.0809295578</v>
          </cell>
          <cell r="DG103">
            <v>139008.12</v>
          </cell>
          <cell r="DH103">
            <v>104158</v>
          </cell>
          <cell r="DI103">
            <v>5156534.0809295578</v>
          </cell>
          <cell r="DJ103">
            <v>5399700.2009295579</v>
          </cell>
          <cell r="DK103">
            <v>3231189</v>
          </cell>
          <cell r="DL103">
            <v>595024</v>
          </cell>
          <cell r="DM103">
            <v>25000</v>
          </cell>
          <cell r="DN103">
            <v>18152</v>
          </cell>
          <cell r="DO103">
            <v>551872</v>
          </cell>
          <cell r="DP103">
            <v>0.92747855548683755</v>
          </cell>
          <cell r="DQ103">
            <v>2918884</v>
          </cell>
          <cell r="DR103">
            <v>450276</v>
          </cell>
          <cell r="DS103">
            <v>20262</v>
          </cell>
          <cell r="DT103">
            <v>127469.34000000001</v>
          </cell>
          <cell r="DU103">
            <v>800000</v>
          </cell>
          <cell r="DV103">
            <v>0</v>
          </cell>
          <cell r="DW103">
            <v>0</v>
          </cell>
          <cell r="DX103">
            <v>188124</v>
          </cell>
          <cell r="DY103">
            <v>56494.740929557942</v>
          </cell>
          <cell r="DZ103">
            <v>243166.12</v>
          </cell>
          <cell r="EA103">
            <v>551872</v>
          </cell>
          <cell r="EB103">
            <v>0.92747855548683755</v>
          </cell>
          <cell r="EC103">
            <v>25000</v>
          </cell>
          <cell r="ED103">
            <v>18152</v>
          </cell>
          <cell r="EE103">
            <v>595024</v>
          </cell>
          <cell r="EF103">
            <v>5399701.1284081135</v>
          </cell>
          <cell r="EH103">
            <v>3775378.7409295579</v>
          </cell>
          <cell r="EI103">
            <v>9806.1785478689817</v>
          </cell>
          <cell r="EJ103">
            <v>9659.983742674176</v>
          </cell>
          <cell r="EK103">
            <v>5156534.0809295578</v>
          </cell>
          <cell r="EL103">
            <v>4450000</v>
          </cell>
          <cell r="EM103">
            <v>706534.08092955779</v>
          </cell>
          <cell r="EN103">
            <v>0.1587717035796759</v>
          </cell>
          <cell r="EO103">
            <v>706534.08092955779</v>
          </cell>
          <cell r="EP103">
            <v>949700.2009295579</v>
          </cell>
          <cell r="EQ103">
            <v>5029064.7409295579</v>
          </cell>
          <cell r="ER103">
            <v>4018544.8609295581</v>
          </cell>
          <cell r="ES103">
            <v>10437.778859557293</v>
          </cell>
          <cell r="ET103">
            <v>0</v>
          </cell>
          <cell r="EU103">
            <v>0</v>
          </cell>
          <cell r="EV103">
            <v>9806.1785478689817</v>
          </cell>
          <cell r="EW103">
            <v>385</v>
          </cell>
        </row>
        <row r="104">
          <cell r="A104">
            <v>402</v>
          </cell>
          <cell r="B104" t="str">
            <v>Benjamin Banneker HS</v>
          </cell>
          <cell r="C104" t="str">
            <v>HS</v>
          </cell>
          <cell r="D104">
            <v>1</v>
          </cell>
          <cell r="E104">
            <v>572</v>
          </cell>
          <cell r="F104">
            <v>0.24099999999999999</v>
          </cell>
          <cell r="G104">
            <v>138</v>
          </cell>
          <cell r="H104">
            <v>195277</v>
          </cell>
          <cell r="I104">
            <v>112569</v>
          </cell>
          <cell r="J104">
            <v>297405</v>
          </cell>
          <cell r="L104">
            <v>318120</v>
          </cell>
          <cell r="M104">
            <v>90879</v>
          </cell>
          <cell r="N104">
            <v>67876</v>
          </cell>
          <cell r="O104">
            <v>70895</v>
          </cell>
          <cell r="P104">
            <v>56854</v>
          </cell>
          <cell r="Q104">
            <v>69509</v>
          </cell>
          <cell r="S104">
            <v>78183</v>
          </cell>
          <cell r="T104">
            <v>60194</v>
          </cell>
          <cell r="U104">
            <v>252975</v>
          </cell>
          <cell r="V104">
            <v>112569</v>
          </cell>
          <cell r="AE104">
            <v>2679142</v>
          </cell>
          <cell r="AF104">
            <v>0</v>
          </cell>
          <cell r="AG104">
            <v>112569</v>
          </cell>
          <cell r="AH104">
            <v>112569</v>
          </cell>
          <cell r="AI104">
            <v>112569</v>
          </cell>
          <cell r="AN104">
            <v>36022</v>
          </cell>
          <cell r="AW104">
            <v>0</v>
          </cell>
          <cell r="AX104">
            <v>82434.090000000011</v>
          </cell>
          <cell r="AZ104">
            <v>0</v>
          </cell>
          <cell r="BA104">
            <v>117087</v>
          </cell>
          <cell r="BU104">
            <v>167765</v>
          </cell>
          <cell r="BW104">
            <v>117087</v>
          </cell>
          <cell r="BZ104">
            <v>16445</v>
          </cell>
          <cell r="CA104">
            <v>8580</v>
          </cell>
          <cell r="CB104">
            <v>8580</v>
          </cell>
          <cell r="CC104">
            <v>19734</v>
          </cell>
          <cell r="CD104">
            <v>11440</v>
          </cell>
          <cell r="CM104">
            <v>57200</v>
          </cell>
          <cell r="CN104">
            <v>81629</v>
          </cell>
          <cell r="CO104">
            <v>11859</v>
          </cell>
          <cell r="CU104">
            <v>690480</v>
          </cell>
          <cell r="CW104">
            <v>34130</v>
          </cell>
          <cell r="CY104">
            <v>175</v>
          </cell>
          <cell r="DC104">
            <v>0</v>
          </cell>
          <cell r="DD104">
            <v>6260801.0899999999</v>
          </cell>
          <cell r="DE104">
            <v>-195.69092955812812</v>
          </cell>
          <cell r="DF104">
            <v>6260605.3990704417</v>
          </cell>
          <cell r="DG104">
            <v>32614.77</v>
          </cell>
          <cell r="DH104">
            <v>245811</v>
          </cell>
          <cell r="DI104">
            <v>6260605.3990704417</v>
          </cell>
          <cell r="DJ104">
            <v>6539031.1690704413</v>
          </cell>
          <cell r="DK104">
            <v>4403649</v>
          </cell>
          <cell r="DL104">
            <v>387327.35</v>
          </cell>
          <cell r="DM104">
            <v>0</v>
          </cell>
          <cell r="DN104">
            <v>175</v>
          </cell>
          <cell r="DO104">
            <v>387152.35</v>
          </cell>
          <cell r="DP104">
            <v>0.99954818579168236</v>
          </cell>
          <cell r="DQ104">
            <v>4559065.6500000004</v>
          </cell>
          <cell r="DR104">
            <v>337707</v>
          </cell>
          <cell r="DS104">
            <v>36022</v>
          </cell>
          <cell r="DT104">
            <v>82434.090000000011</v>
          </cell>
          <cell r="DU104">
            <v>690480</v>
          </cell>
          <cell r="DV104">
            <v>0</v>
          </cell>
          <cell r="DW104">
            <v>0</v>
          </cell>
          <cell r="DX104">
            <v>167765</v>
          </cell>
          <cell r="DY104">
            <v>-195.69092955812812</v>
          </cell>
          <cell r="DZ104">
            <v>278425.77</v>
          </cell>
          <cell r="EA104">
            <v>387152.35</v>
          </cell>
          <cell r="EB104">
            <v>0.99954818579168236</v>
          </cell>
          <cell r="EC104">
            <v>0</v>
          </cell>
          <cell r="ED104">
            <v>175</v>
          </cell>
          <cell r="EE104">
            <v>387327.35</v>
          </cell>
          <cell r="EF104">
            <v>6539032.1686186269</v>
          </cell>
          <cell r="EH104">
            <v>5249349.9590704422</v>
          </cell>
          <cell r="EI104">
            <v>9177.1852431301431</v>
          </cell>
          <cell r="EJ104">
            <v>9177.1852431301431</v>
          </cell>
          <cell r="EK104">
            <v>6260605.3990704417</v>
          </cell>
          <cell r="EL104">
            <v>6112131</v>
          </cell>
          <cell r="EM104">
            <v>148474.39907044172</v>
          </cell>
          <cell r="EN104">
            <v>2.4291756683625026E-2</v>
          </cell>
          <cell r="EO104">
            <v>148474.39907044172</v>
          </cell>
          <cell r="EP104">
            <v>426900.16907044128</v>
          </cell>
          <cell r="EQ104">
            <v>6178171.3090704419</v>
          </cell>
          <cell r="ER104">
            <v>5527775.7290704418</v>
          </cell>
          <cell r="ES104">
            <v>9663.9435822909818</v>
          </cell>
          <cell r="ET104">
            <v>0</v>
          </cell>
          <cell r="EU104">
            <v>0</v>
          </cell>
          <cell r="EV104">
            <v>9177.1852431301431</v>
          </cell>
          <cell r="EW104">
            <v>572</v>
          </cell>
        </row>
        <row r="105">
          <cell r="A105">
            <v>455</v>
          </cell>
          <cell r="B105" t="str">
            <v>Coolidge HS</v>
          </cell>
          <cell r="C105" t="str">
            <v>HS</v>
          </cell>
          <cell r="D105">
            <v>4</v>
          </cell>
          <cell r="E105">
            <v>696</v>
          </cell>
          <cell r="F105">
            <v>0.55600000000000005</v>
          </cell>
          <cell r="G105">
            <v>387</v>
          </cell>
          <cell r="H105">
            <v>195277</v>
          </cell>
          <cell r="I105">
            <v>112569</v>
          </cell>
          <cell r="J105">
            <v>360017</v>
          </cell>
          <cell r="L105">
            <v>381744</v>
          </cell>
          <cell r="M105">
            <v>90879</v>
          </cell>
          <cell r="N105">
            <v>67876</v>
          </cell>
          <cell r="O105">
            <v>86086</v>
          </cell>
          <cell r="P105">
            <v>56854</v>
          </cell>
          <cell r="Q105">
            <v>69509</v>
          </cell>
          <cell r="S105">
            <v>78183</v>
          </cell>
          <cell r="T105">
            <v>60194</v>
          </cell>
          <cell r="U105">
            <v>404760</v>
          </cell>
          <cell r="V105">
            <v>112569</v>
          </cell>
          <cell r="AE105">
            <v>3264501.22</v>
          </cell>
          <cell r="AF105">
            <v>970344.77999999968</v>
          </cell>
          <cell r="AG105">
            <v>112569</v>
          </cell>
          <cell r="AH105">
            <v>337707</v>
          </cell>
          <cell r="AI105">
            <v>1463397</v>
          </cell>
          <cell r="AJ105">
            <v>187440</v>
          </cell>
          <cell r="AK105">
            <v>55015</v>
          </cell>
          <cell r="AM105">
            <v>787983</v>
          </cell>
          <cell r="AO105">
            <v>37488</v>
          </cell>
          <cell r="AQ105">
            <v>127248</v>
          </cell>
          <cell r="AU105">
            <v>60000</v>
          </cell>
          <cell r="AW105">
            <v>0</v>
          </cell>
          <cell r="AX105">
            <v>522767.91000000003</v>
          </cell>
          <cell r="AZ105">
            <v>24641</v>
          </cell>
          <cell r="BG105">
            <v>156529</v>
          </cell>
          <cell r="BH105">
            <v>8416</v>
          </cell>
          <cell r="BI105">
            <v>16800</v>
          </cell>
          <cell r="BJ105">
            <v>29000</v>
          </cell>
          <cell r="BK105">
            <v>225138</v>
          </cell>
          <cell r="BM105">
            <v>288612</v>
          </cell>
          <cell r="BN105">
            <v>117087</v>
          </cell>
          <cell r="BU105">
            <v>376248</v>
          </cell>
          <cell r="BW105">
            <v>117087</v>
          </cell>
          <cell r="BX105">
            <v>75000</v>
          </cell>
          <cell r="BY105">
            <v>7745</v>
          </cell>
          <cell r="BZ105">
            <v>20010</v>
          </cell>
          <cell r="CA105">
            <v>10440</v>
          </cell>
          <cell r="CB105">
            <v>10440</v>
          </cell>
          <cell r="CC105">
            <v>24012</v>
          </cell>
          <cell r="CD105">
            <v>13920</v>
          </cell>
          <cell r="CE105">
            <v>117087</v>
          </cell>
          <cell r="CJ105">
            <v>144306</v>
          </cell>
          <cell r="CM105">
            <v>69600</v>
          </cell>
          <cell r="CN105">
            <v>155440</v>
          </cell>
          <cell r="CO105">
            <v>25319</v>
          </cell>
          <cell r="CU105">
            <v>832710</v>
          </cell>
          <cell r="CY105">
            <v>12100</v>
          </cell>
          <cell r="DC105">
            <v>0</v>
          </cell>
          <cell r="DD105">
            <v>12880664.91</v>
          </cell>
          <cell r="DE105">
            <v>-351185.68833000213</v>
          </cell>
          <cell r="DF105">
            <v>12529479.221669998</v>
          </cell>
          <cell r="DG105">
            <v>270050.21000000002</v>
          </cell>
          <cell r="DH105">
            <v>0</v>
          </cell>
          <cell r="DI105">
            <v>12529479.221669998</v>
          </cell>
          <cell r="DJ105">
            <v>12799529.431669999</v>
          </cell>
          <cell r="DK105">
            <v>5469287.2200000007</v>
          </cell>
          <cell r="DL105">
            <v>1086199</v>
          </cell>
          <cell r="DM105">
            <v>60000</v>
          </cell>
          <cell r="DN105">
            <v>1723720.7799999998</v>
          </cell>
          <cell r="DO105">
            <v>-697521.7799999998</v>
          </cell>
          <cell r="DP105">
            <v>-0.64216757702778204</v>
          </cell>
          <cell r="DQ105">
            <v>6854252</v>
          </cell>
          <cell r="DR105">
            <v>2156128</v>
          </cell>
          <cell r="DS105">
            <v>952719</v>
          </cell>
          <cell r="DT105">
            <v>622408.91</v>
          </cell>
          <cell r="DU105">
            <v>832710</v>
          </cell>
          <cell r="DV105">
            <v>0</v>
          </cell>
          <cell r="DW105">
            <v>0</v>
          </cell>
          <cell r="DX105">
            <v>376248</v>
          </cell>
          <cell r="DY105">
            <v>-351185.68833000213</v>
          </cell>
          <cell r="DZ105">
            <v>270050.21000000002</v>
          </cell>
          <cell r="EA105">
            <v>-697521.7799999998</v>
          </cell>
          <cell r="EB105">
            <v>-0.64216757702778204</v>
          </cell>
          <cell r="EC105">
            <v>60000</v>
          </cell>
          <cell r="ED105">
            <v>1723720.7799999998</v>
          </cell>
          <cell r="EE105">
            <v>1086199</v>
          </cell>
          <cell r="EF105">
            <v>12799528.789502421</v>
          </cell>
          <cell r="EH105">
            <v>7335776.3116699979</v>
          </cell>
          <cell r="EI105">
            <v>10539.908493778732</v>
          </cell>
          <cell r="EJ105">
            <v>10539.908493778732</v>
          </cell>
          <cell r="EK105">
            <v>12529479.221669998</v>
          </cell>
          <cell r="EL105">
            <v>11002534</v>
          </cell>
          <cell r="EM105">
            <v>1526945.221669998</v>
          </cell>
          <cell r="EN105">
            <v>0.13878123182077856</v>
          </cell>
          <cell r="EO105">
            <v>1526945.221669998</v>
          </cell>
          <cell r="EP105">
            <v>1796995.4316699989</v>
          </cell>
          <cell r="EQ105">
            <v>11907070.311669998</v>
          </cell>
          <cell r="ER105">
            <v>7605826.5216699978</v>
          </cell>
          <cell r="ES105">
            <v>10927.911669066089</v>
          </cell>
          <cell r="ET105">
            <v>0</v>
          </cell>
          <cell r="EU105">
            <v>0</v>
          </cell>
          <cell r="EV105">
            <v>10539.908493778732</v>
          </cell>
          <cell r="EW105">
            <v>696</v>
          </cell>
        </row>
        <row r="106">
          <cell r="A106">
            <v>467</v>
          </cell>
          <cell r="B106" t="str">
            <v>Dunbar HS</v>
          </cell>
          <cell r="C106" t="str">
            <v>HS</v>
          </cell>
          <cell r="D106">
            <v>5</v>
          </cell>
          <cell r="E106">
            <v>662</v>
          </cell>
          <cell r="F106">
            <v>0.67800000000000005</v>
          </cell>
          <cell r="G106">
            <v>449</v>
          </cell>
          <cell r="H106">
            <v>195277</v>
          </cell>
          <cell r="I106">
            <v>112569</v>
          </cell>
          <cell r="J106">
            <v>344364</v>
          </cell>
          <cell r="L106">
            <v>381744</v>
          </cell>
          <cell r="M106">
            <v>90879</v>
          </cell>
          <cell r="N106">
            <v>67876</v>
          </cell>
          <cell r="O106">
            <v>86086</v>
          </cell>
          <cell r="P106">
            <v>56854</v>
          </cell>
          <cell r="Q106">
            <v>69509</v>
          </cell>
          <cell r="S106">
            <v>78183</v>
          </cell>
          <cell r="T106">
            <v>60194</v>
          </cell>
          <cell r="U106">
            <v>455355</v>
          </cell>
          <cell r="V106">
            <v>112569</v>
          </cell>
          <cell r="W106">
            <v>112569.07</v>
          </cell>
          <cell r="AE106">
            <v>3105028.31</v>
          </cell>
          <cell r="AF106">
            <v>864154.69</v>
          </cell>
          <cell r="AG106">
            <v>225138</v>
          </cell>
          <cell r="AH106">
            <v>450276</v>
          </cell>
          <cell r="AI106">
            <v>1575966</v>
          </cell>
          <cell r="AJ106">
            <v>187440</v>
          </cell>
          <cell r="AK106">
            <v>55015</v>
          </cell>
          <cell r="AM106">
            <v>112569</v>
          </cell>
          <cell r="AU106">
            <v>75000</v>
          </cell>
          <cell r="AW106">
            <v>0</v>
          </cell>
          <cell r="AX106">
            <v>520350.64</v>
          </cell>
          <cell r="AZ106">
            <v>20877</v>
          </cell>
          <cell r="BG106">
            <v>156529</v>
          </cell>
          <cell r="BH106">
            <v>12216</v>
          </cell>
          <cell r="BI106">
            <v>23000</v>
          </cell>
          <cell r="BJ106">
            <v>32000</v>
          </cell>
          <cell r="BK106">
            <v>225138</v>
          </cell>
          <cell r="BM106">
            <v>144306</v>
          </cell>
          <cell r="BN106">
            <v>117087</v>
          </cell>
          <cell r="BP106">
            <v>112569</v>
          </cell>
          <cell r="BU106">
            <v>488092</v>
          </cell>
          <cell r="BW106">
            <v>117087</v>
          </cell>
          <cell r="BY106">
            <v>8978</v>
          </cell>
          <cell r="BZ106">
            <v>19033</v>
          </cell>
          <cell r="CA106">
            <v>9930</v>
          </cell>
          <cell r="CB106">
            <v>9930</v>
          </cell>
          <cell r="CC106">
            <v>22839</v>
          </cell>
          <cell r="CD106">
            <v>13240</v>
          </cell>
          <cell r="CE106">
            <v>117087</v>
          </cell>
          <cell r="CK106">
            <v>5000</v>
          </cell>
          <cell r="CL106">
            <v>113946</v>
          </cell>
          <cell r="CM106">
            <v>66200</v>
          </cell>
          <cell r="CN106">
            <v>145441</v>
          </cell>
          <cell r="CO106">
            <v>17368</v>
          </cell>
          <cell r="CY106">
            <v>52125</v>
          </cell>
          <cell r="DC106">
            <v>112569</v>
          </cell>
          <cell r="DD106">
            <v>11557552.710000001</v>
          </cell>
          <cell r="DE106">
            <v>-332921.89500000142</v>
          </cell>
          <cell r="DF106">
            <v>11224630.814999999</v>
          </cell>
          <cell r="DG106">
            <v>270835.06</v>
          </cell>
          <cell r="DH106">
            <v>112569</v>
          </cell>
          <cell r="DI106">
            <v>11224630.814999999</v>
          </cell>
          <cell r="DJ106">
            <v>11608034.875</v>
          </cell>
          <cell r="DK106">
            <v>5381530.3799999999</v>
          </cell>
          <cell r="DL106">
            <v>1260215</v>
          </cell>
          <cell r="DM106">
            <v>75000</v>
          </cell>
          <cell r="DN106">
            <v>1527482.69</v>
          </cell>
          <cell r="DO106">
            <v>-342267.68999999994</v>
          </cell>
          <cell r="DP106">
            <v>-0.27159468027281053</v>
          </cell>
          <cell r="DQ106">
            <v>6549045.0700000003</v>
          </cell>
          <cell r="DR106">
            <v>2493835</v>
          </cell>
          <cell r="DS106">
            <v>112569</v>
          </cell>
          <cell r="DT106">
            <v>541227.64</v>
          </cell>
          <cell r="DU106">
            <v>0</v>
          </cell>
          <cell r="DV106">
            <v>0</v>
          </cell>
          <cell r="DW106">
            <v>0</v>
          </cell>
          <cell r="DX106">
            <v>488092</v>
          </cell>
          <cell r="DY106">
            <v>-220352.89500000142</v>
          </cell>
          <cell r="DZ106">
            <v>383404.06</v>
          </cell>
          <cell r="EA106">
            <v>-342267.68999999994</v>
          </cell>
          <cell r="EB106">
            <v>-0.27159468027281053</v>
          </cell>
          <cell r="EC106">
            <v>75000</v>
          </cell>
          <cell r="ED106">
            <v>1527482.69</v>
          </cell>
          <cell r="EE106">
            <v>1260215</v>
          </cell>
          <cell r="EF106">
            <v>11608034.603405319</v>
          </cell>
          <cell r="EH106">
            <v>6328692.1749999989</v>
          </cell>
          <cell r="EI106">
            <v>9559.957968277944</v>
          </cell>
          <cell r="EJ106">
            <v>9389.9141616314191</v>
          </cell>
          <cell r="EK106">
            <v>11224630.814999999</v>
          </cell>
          <cell r="EL106">
            <v>10596907</v>
          </cell>
          <cell r="EM106">
            <v>627723.81499999948</v>
          </cell>
          <cell r="EN106">
            <v>5.9236512597496557E-2</v>
          </cell>
          <cell r="EO106">
            <v>627723.81499999948</v>
          </cell>
          <cell r="EP106">
            <v>1011127.875</v>
          </cell>
          <cell r="EQ106">
            <v>10683403.174999999</v>
          </cell>
          <cell r="ER106">
            <v>6712096.2349999985</v>
          </cell>
          <cell r="ES106">
            <v>10139.118179758307</v>
          </cell>
          <cell r="ET106">
            <v>0</v>
          </cell>
          <cell r="EU106">
            <v>0</v>
          </cell>
          <cell r="EV106">
            <v>9559.957968277944</v>
          </cell>
          <cell r="EW106">
            <v>662</v>
          </cell>
        </row>
        <row r="107">
          <cell r="A107">
            <v>457</v>
          </cell>
          <cell r="B107" t="str">
            <v>Eastern HS</v>
          </cell>
          <cell r="C107" t="str">
            <v>HS</v>
          </cell>
          <cell r="D107">
            <v>6</v>
          </cell>
          <cell r="E107">
            <v>770</v>
          </cell>
          <cell r="F107">
            <v>0.72499999999999998</v>
          </cell>
          <cell r="G107">
            <v>558</v>
          </cell>
          <cell r="H107">
            <v>195277</v>
          </cell>
          <cell r="I107">
            <v>112569</v>
          </cell>
          <cell r="J107">
            <v>406975</v>
          </cell>
          <cell r="L107">
            <v>445368</v>
          </cell>
          <cell r="M107">
            <v>90879</v>
          </cell>
          <cell r="N107">
            <v>67876</v>
          </cell>
          <cell r="O107">
            <v>96214</v>
          </cell>
          <cell r="P107">
            <v>56854</v>
          </cell>
          <cell r="Q107">
            <v>69509</v>
          </cell>
          <cell r="S107">
            <v>78183</v>
          </cell>
          <cell r="T107">
            <v>60194</v>
          </cell>
          <cell r="U107">
            <v>404760</v>
          </cell>
          <cell r="V107">
            <v>112569</v>
          </cell>
          <cell r="AE107">
            <v>3611588.7300000004</v>
          </cell>
          <cell r="AF107">
            <v>731323.26999999955</v>
          </cell>
          <cell r="AG107">
            <v>225138</v>
          </cell>
          <cell r="AH107">
            <v>450276</v>
          </cell>
          <cell r="AI107">
            <v>2363949</v>
          </cell>
          <cell r="AJ107">
            <v>337392</v>
          </cell>
          <cell r="AK107">
            <v>55015</v>
          </cell>
          <cell r="AM107">
            <v>225138</v>
          </cell>
          <cell r="AU107">
            <v>65000</v>
          </cell>
          <cell r="AW107">
            <v>0</v>
          </cell>
          <cell r="AX107">
            <v>579320.16</v>
          </cell>
          <cell r="AZ107">
            <v>32912</v>
          </cell>
          <cell r="BA107">
            <v>117087</v>
          </cell>
          <cell r="BD107">
            <v>112569</v>
          </cell>
          <cell r="BG107">
            <v>156529</v>
          </cell>
          <cell r="BH107">
            <v>25716</v>
          </cell>
          <cell r="BI107">
            <v>19500</v>
          </cell>
          <cell r="BJ107">
            <v>32000</v>
          </cell>
          <cell r="BK107">
            <v>225138</v>
          </cell>
          <cell r="BM107">
            <v>144306</v>
          </cell>
          <cell r="BU107">
            <v>488092</v>
          </cell>
          <cell r="BW107">
            <v>117087</v>
          </cell>
          <cell r="BY107">
            <v>11173</v>
          </cell>
          <cell r="BZ107">
            <v>22138</v>
          </cell>
          <cell r="CA107">
            <v>11550</v>
          </cell>
          <cell r="CB107">
            <v>11550</v>
          </cell>
          <cell r="CC107">
            <v>26565</v>
          </cell>
          <cell r="CD107">
            <v>15400</v>
          </cell>
          <cell r="CE107">
            <v>117087</v>
          </cell>
          <cell r="CM107">
            <v>77000</v>
          </cell>
          <cell r="CN107">
            <v>171646</v>
          </cell>
          <cell r="CO107">
            <v>17681</v>
          </cell>
          <cell r="CW107">
            <v>32187</v>
          </cell>
          <cell r="CY107">
            <v>22425</v>
          </cell>
          <cell r="DC107">
            <v>0</v>
          </cell>
          <cell r="DD107">
            <v>12848705.16</v>
          </cell>
          <cell r="DE107">
            <v>-229834.7349999994</v>
          </cell>
          <cell r="DF107">
            <v>12618870.425000001</v>
          </cell>
          <cell r="DG107">
            <v>350511.84</v>
          </cell>
          <cell r="DH107">
            <v>117087</v>
          </cell>
          <cell r="DI107">
            <v>12618870.425000001</v>
          </cell>
          <cell r="DJ107">
            <v>13086469.265000001</v>
          </cell>
          <cell r="DK107">
            <v>5961433.7300000004</v>
          </cell>
          <cell r="DL107">
            <v>1566147</v>
          </cell>
          <cell r="DM107">
            <v>65000</v>
          </cell>
          <cell r="DN107">
            <v>1372628.2699999996</v>
          </cell>
          <cell r="DO107">
            <v>128518.73000000045</v>
          </cell>
          <cell r="DP107">
            <v>8.2060451541266843E-2</v>
          </cell>
          <cell r="DQ107">
            <v>6525326</v>
          </cell>
          <cell r="DR107">
            <v>3431770</v>
          </cell>
          <cell r="DS107">
            <v>225138</v>
          </cell>
          <cell r="DT107">
            <v>612232.16</v>
          </cell>
          <cell r="DU107">
            <v>0</v>
          </cell>
          <cell r="DV107">
            <v>0</v>
          </cell>
          <cell r="DW107">
            <v>0</v>
          </cell>
          <cell r="DX107">
            <v>488092</v>
          </cell>
          <cell r="DY107">
            <v>-229834.7349999994</v>
          </cell>
          <cell r="DZ107">
            <v>467598.84</v>
          </cell>
          <cell r="EA107">
            <v>128518.73000000045</v>
          </cell>
          <cell r="EB107">
            <v>8.2060451541266843E-2</v>
          </cell>
          <cell r="EC107">
            <v>65000</v>
          </cell>
          <cell r="ED107">
            <v>1372628.2699999996</v>
          </cell>
          <cell r="EE107">
            <v>1566147</v>
          </cell>
          <cell r="EF107">
            <v>13086469.347060451</v>
          </cell>
          <cell r="EH107">
            <v>6295491.2650000006</v>
          </cell>
          <cell r="EI107">
            <v>8175.9626818181823</v>
          </cell>
          <cell r="EJ107">
            <v>8175.9626818181823</v>
          </cell>
          <cell r="EK107">
            <v>12618870.425000001</v>
          </cell>
          <cell r="EL107">
            <v>12718397</v>
          </cell>
          <cell r="EM107">
            <v>-99526.574999999255</v>
          </cell>
          <cell r="EN107">
            <v>-7.8254024465503995E-3</v>
          </cell>
          <cell r="EO107">
            <v>-99526.574999999255</v>
          </cell>
          <cell r="EP107">
            <v>368072.2650000006</v>
          </cell>
          <cell r="EQ107">
            <v>12006638.265000001</v>
          </cell>
          <cell r="ER107">
            <v>6763090.1050000004</v>
          </cell>
          <cell r="ES107">
            <v>8783.2339025974034</v>
          </cell>
          <cell r="ET107">
            <v>0</v>
          </cell>
          <cell r="EU107">
            <v>0</v>
          </cell>
          <cell r="EV107">
            <v>8175.9626818181823</v>
          </cell>
          <cell r="EW107">
            <v>770</v>
          </cell>
        </row>
        <row r="108">
          <cell r="A108">
            <v>471</v>
          </cell>
          <cell r="B108" t="str">
            <v>Ellington School of the Arts</v>
          </cell>
          <cell r="C108" t="str">
            <v>HS</v>
          </cell>
          <cell r="D108">
            <v>3</v>
          </cell>
          <cell r="E108">
            <v>611</v>
          </cell>
          <cell r="F108">
            <v>0.314</v>
          </cell>
          <cell r="G108">
            <v>192</v>
          </cell>
          <cell r="H108">
            <v>195277</v>
          </cell>
          <cell r="I108">
            <v>112569</v>
          </cell>
          <cell r="J108">
            <v>313058</v>
          </cell>
          <cell r="L108">
            <v>318120</v>
          </cell>
          <cell r="M108">
            <v>90879</v>
          </cell>
          <cell r="N108">
            <v>67876</v>
          </cell>
          <cell r="O108">
            <v>75959</v>
          </cell>
          <cell r="P108">
            <v>56854</v>
          </cell>
          <cell r="Q108">
            <v>69509</v>
          </cell>
          <cell r="S108">
            <v>78183</v>
          </cell>
          <cell r="T108">
            <v>60194</v>
          </cell>
          <cell r="U108">
            <v>252975</v>
          </cell>
          <cell r="V108">
            <v>112569</v>
          </cell>
          <cell r="AE108">
            <v>2865819.125</v>
          </cell>
          <cell r="AF108">
            <v>736388.87500000012</v>
          </cell>
          <cell r="AG108">
            <v>112569</v>
          </cell>
          <cell r="AH108">
            <v>112569</v>
          </cell>
          <cell r="AI108">
            <v>450276</v>
          </cell>
          <cell r="AN108">
            <v>46153</v>
          </cell>
          <cell r="AW108">
            <v>0</v>
          </cell>
          <cell r="AX108">
            <v>0</v>
          </cell>
          <cell r="AY108">
            <v>15275</v>
          </cell>
          <cell r="AZ108">
            <v>0</v>
          </cell>
          <cell r="BU108">
            <v>355889</v>
          </cell>
          <cell r="BY108">
            <v>3849</v>
          </cell>
          <cell r="BZ108">
            <v>17566</v>
          </cell>
          <cell r="CA108">
            <v>9165</v>
          </cell>
          <cell r="CB108">
            <v>9165</v>
          </cell>
          <cell r="CC108">
            <v>21080</v>
          </cell>
          <cell r="CD108">
            <v>12220</v>
          </cell>
          <cell r="CE108">
            <v>117087</v>
          </cell>
          <cell r="CM108">
            <v>61100</v>
          </cell>
          <cell r="CN108">
            <v>100543</v>
          </cell>
          <cell r="CO108">
            <v>15287</v>
          </cell>
          <cell r="CU108">
            <v>3233529</v>
          </cell>
          <cell r="CY108">
            <v>20580</v>
          </cell>
          <cell r="DD108">
            <v>10120132</v>
          </cell>
          <cell r="DE108">
            <v>56295.236670000479</v>
          </cell>
          <cell r="DF108">
            <v>10176427.23667</v>
          </cell>
          <cell r="DG108">
            <v>94334.7</v>
          </cell>
          <cell r="DH108">
            <v>247569</v>
          </cell>
          <cell r="DI108">
            <v>10176427.23667</v>
          </cell>
          <cell r="DJ108">
            <v>10518330.93667</v>
          </cell>
          <cell r="DK108">
            <v>4524615.125</v>
          </cell>
          <cell r="DL108">
            <v>538889.97</v>
          </cell>
          <cell r="DM108">
            <v>0</v>
          </cell>
          <cell r="DN108">
            <v>877904.87500000012</v>
          </cell>
          <cell r="DO108">
            <v>-339014.90500000014</v>
          </cell>
          <cell r="DP108">
            <v>-0.62909856162288591</v>
          </cell>
          <cell r="DQ108">
            <v>5254982.03</v>
          </cell>
          <cell r="DR108">
            <v>675414</v>
          </cell>
          <cell r="DS108">
            <v>46153</v>
          </cell>
          <cell r="DT108">
            <v>15275</v>
          </cell>
          <cell r="DU108">
            <v>3233529</v>
          </cell>
          <cell r="DV108">
            <v>0</v>
          </cell>
          <cell r="DW108">
            <v>0</v>
          </cell>
          <cell r="DX108">
            <v>355889</v>
          </cell>
          <cell r="DY108">
            <v>56295.236670000479</v>
          </cell>
          <cell r="DZ108">
            <v>341903.7</v>
          </cell>
          <cell r="EA108">
            <v>-339014.90500000014</v>
          </cell>
          <cell r="EB108">
            <v>-0.62909856162288591</v>
          </cell>
          <cell r="EC108">
            <v>0</v>
          </cell>
          <cell r="ED108">
            <v>877904.87500000012</v>
          </cell>
          <cell r="EE108">
            <v>538889.97</v>
          </cell>
          <cell r="EF108">
            <v>10518330.307571439</v>
          </cell>
          <cell r="EH108">
            <v>8544806.2666700017</v>
          </cell>
          <cell r="EI108">
            <v>13984.952973273324</v>
          </cell>
          <cell r="EJ108">
            <v>13984.952973273324</v>
          </cell>
          <cell r="EK108">
            <v>10176427.23667</v>
          </cell>
          <cell r="EL108">
            <v>8941206</v>
          </cell>
          <cell r="EM108">
            <v>1235221.2366700005</v>
          </cell>
          <cell r="EN108">
            <v>0.13814928731873535</v>
          </cell>
          <cell r="EO108">
            <v>1235221.2366700005</v>
          </cell>
          <cell r="EP108">
            <v>1577124.9366699997</v>
          </cell>
          <cell r="EQ108">
            <v>10161152.23667</v>
          </cell>
          <cell r="ER108">
            <v>8886709.9666700009</v>
          </cell>
          <cell r="ES108">
            <v>14544.533497004912</v>
          </cell>
          <cell r="ET108">
            <v>0</v>
          </cell>
          <cell r="EU108">
            <v>0</v>
          </cell>
          <cell r="EV108">
            <v>13984.952973273324</v>
          </cell>
          <cell r="EW108">
            <v>611</v>
          </cell>
        </row>
        <row r="109">
          <cell r="A109">
            <v>884</v>
          </cell>
          <cell r="B109" t="str">
            <v>Luke Moore Alternative HS</v>
          </cell>
          <cell r="C109" t="str">
            <v>HS</v>
          </cell>
          <cell r="D109">
            <v>5</v>
          </cell>
          <cell r="E109">
            <v>204</v>
          </cell>
          <cell r="F109">
            <v>0</v>
          </cell>
          <cell r="G109">
            <v>0</v>
          </cell>
          <cell r="H109">
            <v>195277</v>
          </cell>
          <cell r="I109">
            <v>112569</v>
          </cell>
          <cell r="J109">
            <v>109570</v>
          </cell>
          <cell r="L109">
            <v>127248</v>
          </cell>
          <cell r="M109">
            <v>45440</v>
          </cell>
          <cell r="N109">
            <v>67876</v>
          </cell>
          <cell r="P109">
            <v>56854</v>
          </cell>
          <cell r="Q109">
            <v>69509</v>
          </cell>
          <cell r="S109">
            <v>78183</v>
          </cell>
          <cell r="T109">
            <v>60194</v>
          </cell>
          <cell r="U109">
            <v>50595</v>
          </cell>
          <cell r="V109">
            <v>56285</v>
          </cell>
          <cell r="AE109">
            <v>956837</v>
          </cell>
          <cell r="AF109">
            <v>0</v>
          </cell>
          <cell r="AG109">
            <v>112569</v>
          </cell>
          <cell r="AH109">
            <v>112569</v>
          </cell>
          <cell r="AI109">
            <v>1125690</v>
          </cell>
          <cell r="AJ109">
            <v>74976</v>
          </cell>
          <cell r="AK109">
            <v>55015</v>
          </cell>
          <cell r="AN109">
            <v>20262</v>
          </cell>
          <cell r="AV109">
            <v>70000</v>
          </cell>
          <cell r="AW109">
            <v>0</v>
          </cell>
          <cell r="AX109">
            <v>64992.369999999995</v>
          </cell>
          <cell r="AZ109">
            <v>0</v>
          </cell>
          <cell r="BU109">
            <v>244046</v>
          </cell>
          <cell r="BZ109">
            <v>5865</v>
          </cell>
          <cell r="CA109">
            <v>3060</v>
          </cell>
          <cell r="CB109">
            <v>3060</v>
          </cell>
          <cell r="CC109">
            <v>7038</v>
          </cell>
          <cell r="CD109">
            <v>4080</v>
          </cell>
          <cell r="CF109">
            <v>117087</v>
          </cell>
          <cell r="CH109">
            <v>150000</v>
          </cell>
          <cell r="CM109">
            <v>20400</v>
          </cell>
          <cell r="CN109">
            <v>58038</v>
          </cell>
          <cell r="CO109">
            <v>3577</v>
          </cell>
          <cell r="CZ109">
            <v>4950</v>
          </cell>
          <cell r="DA109">
            <v>447671</v>
          </cell>
          <cell r="DB109">
            <v>112569</v>
          </cell>
          <cell r="DC109">
            <v>112569</v>
          </cell>
          <cell r="DD109">
            <v>4916520.37</v>
          </cell>
          <cell r="DE109">
            <v>209.84092955756932</v>
          </cell>
          <cell r="DF109">
            <v>4916730.2109295577</v>
          </cell>
          <cell r="DG109">
            <v>95630.37</v>
          </cell>
          <cell r="DH109">
            <v>0</v>
          </cell>
          <cell r="DI109">
            <v>4916730.2109295577</v>
          </cell>
          <cell r="DJ109">
            <v>5012360.5809295578</v>
          </cell>
          <cell r="DK109">
            <v>1902583</v>
          </cell>
          <cell r="DL109">
            <v>0</v>
          </cell>
          <cell r="DM109">
            <v>0</v>
          </cell>
          <cell r="DN109">
            <v>0</v>
          </cell>
          <cell r="DO109">
            <v>0</v>
          </cell>
          <cell r="DP109" t="str">
            <v>N/A</v>
          </cell>
          <cell r="DQ109">
            <v>2546161</v>
          </cell>
          <cell r="DR109">
            <v>1480819</v>
          </cell>
          <cell r="DS109">
            <v>20262</v>
          </cell>
          <cell r="DT109">
            <v>64992.369999999995</v>
          </cell>
          <cell r="DU109">
            <v>0</v>
          </cell>
          <cell r="DV109">
            <v>0</v>
          </cell>
          <cell r="DW109">
            <v>447671</v>
          </cell>
          <cell r="DX109">
            <v>244046</v>
          </cell>
          <cell r="DY109">
            <v>112778.84092955757</v>
          </cell>
          <cell r="DZ109">
            <v>95630.37</v>
          </cell>
          <cell r="EA109">
            <v>0</v>
          </cell>
          <cell r="EB109" t="str">
            <v>N/A</v>
          </cell>
          <cell r="EC109">
            <v>0</v>
          </cell>
          <cell r="ED109">
            <v>0</v>
          </cell>
          <cell r="EE109">
            <v>0</v>
          </cell>
          <cell r="EF109">
            <v>5012360.5809295578</v>
          </cell>
          <cell r="EH109">
            <v>3106610.8409295576</v>
          </cell>
          <cell r="EI109">
            <v>15228.484514360576</v>
          </cell>
          <cell r="EJ109">
            <v>11930.401181027242</v>
          </cell>
          <cell r="EK109">
            <v>4469059.2109295577</v>
          </cell>
          <cell r="EL109">
            <v>4806073</v>
          </cell>
          <cell r="EM109">
            <v>-337013.78907044232</v>
          </cell>
          <cell r="EN109">
            <v>-7.0122486502065678E-2</v>
          </cell>
          <cell r="EO109">
            <v>110657.21092955768</v>
          </cell>
          <cell r="EP109">
            <v>206287.58092955779</v>
          </cell>
          <cell r="EQ109">
            <v>4851737.8409295576</v>
          </cell>
          <cell r="ER109">
            <v>3202241.2109295577</v>
          </cell>
          <cell r="ES109">
            <v>15697.260837889989</v>
          </cell>
          <cell r="ET109">
            <v>0</v>
          </cell>
          <cell r="EU109">
            <v>0</v>
          </cell>
          <cell r="EV109">
            <v>15228.484514360576</v>
          </cell>
          <cell r="EW109">
            <v>204</v>
          </cell>
        </row>
        <row r="110">
          <cell r="A110">
            <v>458</v>
          </cell>
          <cell r="B110" t="str">
            <v>McKinley Technology HS</v>
          </cell>
          <cell r="C110" t="str">
            <v>HS</v>
          </cell>
          <cell r="D110">
            <v>5</v>
          </cell>
          <cell r="E110">
            <v>696</v>
          </cell>
          <cell r="F110">
            <v>0.38500000000000001</v>
          </cell>
          <cell r="G110">
            <v>268</v>
          </cell>
          <cell r="H110">
            <v>97639</v>
          </cell>
          <cell r="I110">
            <v>112569</v>
          </cell>
          <cell r="J110">
            <v>360017</v>
          </cell>
          <cell r="L110">
            <v>381744</v>
          </cell>
          <cell r="M110">
            <v>90879</v>
          </cell>
          <cell r="N110">
            <v>67876</v>
          </cell>
          <cell r="O110">
            <v>86086</v>
          </cell>
          <cell r="P110">
            <v>56854</v>
          </cell>
          <cell r="Q110">
            <v>69509</v>
          </cell>
          <cell r="S110">
            <v>78183</v>
          </cell>
          <cell r="T110">
            <v>60194</v>
          </cell>
          <cell r="U110">
            <v>303570</v>
          </cell>
          <cell r="V110">
            <v>112569</v>
          </cell>
          <cell r="AE110">
            <v>3264501.0999999996</v>
          </cell>
          <cell r="AF110">
            <v>11256.90000000016</v>
          </cell>
          <cell r="AG110">
            <v>112569</v>
          </cell>
          <cell r="AH110">
            <v>225138</v>
          </cell>
          <cell r="AI110">
            <v>225138</v>
          </cell>
          <cell r="AM110">
            <v>112569</v>
          </cell>
          <cell r="AW110">
            <v>0</v>
          </cell>
          <cell r="AX110">
            <v>221740.13999999998</v>
          </cell>
          <cell r="AZ110">
            <v>43128.2</v>
          </cell>
          <cell r="BK110">
            <v>112569</v>
          </cell>
          <cell r="BL110">
            <v>112569</v>
          </cell>
          <cell r="BM110">
            <v>432918</v>
          </cell>
          <cell r="BO110">
            <v>125502</v>
          </cell>
          <cell r="BU110">
            <v>355889</v>
          </cell>
          <cell r="BW110">
            <v>117087</v>
          </cell>
          <cell r="BY110">
            <v>5353</v>
          </cell>
          <cell r="BZ110">
            <v>20010</v>
          </cell>
          <cell r="CA110">
            <v>10440</v>
          </cell>
          <cell r="CB110">
            <v>10440</v>
          </cell>
          <cell r="CC110">
            <v>24012</v>
          </cell>
          <cell r="CD110">
            <v>13920</v>
          </cell>
          <cell r="CM110">
            <v>69600</v>
          </cell>
          <cell r="CN110">
            <v>95730</v>
          </cell>
          <cell r="CO110">
            <v>17681</v>
          </cell>
          <cell r="CU110">
            <v>1680585</v>
          </cell>
          <cell r="CY110">
            <v>3150</v>
          </cell>
          <cell r="DB110">
            <v>112569</v>
          </cell>
          <cell r="DC110">
            <v>0</v>
          </cell>
          <cell r="DD110">
            <v>9413753.3399999999</v>
          </cell>
          <cell r="DE110">
            <v>10.72999999858439</v>
          </cell>
          <cell r="DF110">
            <v>9413764.0699999984</v>
          </cell>
          <cell r="DG110">
            <v>199841.22</v>
          </cell>
          <cell r="DH110">
            <v>156529</v>
          </cell>
          <cell r="DI110">
            <v>9413764.0699999984</v>
          </cell>
          <cell r="DJ110">
            <v>9770134.2899999991</v>
          </cell>
          <cell r="DK110">
            <v>5304301.0999999996</v>
          </cell>
          <cell r="DL110">
            <v>752199</v>
          </cell>
          <cell r="DM110">
            <v>0</v>
          </cell>
          <cell r="DN110">
            <v>578179.90000000014</v>
          </cell>
          <cell r="DO110">
            <v>174019.09999999986</v>
          </cell>
          <cell r="DP110">
            <v>0.23134715680292031</v>
          </cell>
          <cell r="DQ110">
            <v>5684798</v>
          </cell>
          <cell r="DR110">
            <v>562845</v>
          </cell>
          <cell r="DS110">
            <v>112569</v>
          </cell>
          <cell r="DT110">
            <v>264868.33999999997</v>
          </cell>
          <cell r="DU110">
            <v>1680585</v>
          </cell>
          <cell r="DV110">
            <v>0</v>
          </cell>
          <cell r="DW110">
            <v>0</v>
          </cell>
          <cell r="DX110">
            <v>355889</v>
          </cell>
          <cell r="DY110">
            <v>10.72999999858439</v>
          </cell>
          <cell r="DZ110">
            <v>356370.22</v>
          </cell>
          <cell r="EA110">
            <v>174019.09999999986</v>
          </cell>
          <cell r="EB110">
            <v>0.23134715680292031</v>
          </cell>
          <cell r="EC110">
            <v>0</v>
          </cell>
          <cell r="ED110">
            <v>578179.90000000014</v>
          </cell>
          <cell r="EE110">
            <v>752199</v>
          </cell>
          <cell r="EF110">
            <v>9770134.5213471558</v>
          </cell>
          <cell r="EH110">
            <v>7365393.7299999986</v>
          </cell>
          <cell r="EI110">
            <v>10582.462255747125</v>
          </cell>
          <cell r="EJ110">
            <v>10420.725186781607</v>
          </cell>
          <cell r="EK110">
            <v>9413764.0699999984</v>
          </cell>
          <cell r="EL110">
            <v>9245338</v>
          </cell>
          <cell r="EM110">
            <v>168426.06999999844</v>
          </cell>
          <cell r="EN110">
            <v>1.8217405356083082E-2</v>
          </cell>
          <cell r="EO110">
            <v>168426.06999999844</v>
          </cell>
          <cell r="EP110">
            <v>524796.28999999911</v>
          </cell>
          <cell r="EQ110">
            <v>9148895.7299999986</v>
          </cell>
          <cell r="ER110">
            <v>7721763.9499999983</v>
          </cell>
          <cell r="ES110">
            <v>11094.488433908044</v>
          </cell>
          <cell r="ET110">
            <v>0</v>
          </cell>
          <cell r="EU110">
            <v>0</v>
          </cell>
          <cell r="EV110">
            <v>10582.462255747125</v>
          </cell>
          <cell r="EW110">
            <v>696</v>
          </cell>
        </row>
        <row r="111">
          <cell r="A111">
            <v>478</v>
          </cell>
          <cell r="B111" t="str">
            <v>Phelps ACE HS</v>
          </cell>
          <cell r="C111" t="str">
            <v>HS</v>
          </cell>
          <cell r="D111">
            <v>5</v>
          </cell>
          <cell r="E111">
            <v>306</v>
          </cell>
          <cell r="F111">
            <v>0.64400000000000002</v>
          </cell>
          <cell r="G111">
            <v>197</v>
          </cell>
          <cell r="H111">
            <v>195277</v>
          </cell>
          <cell r="I111">
            <v>112569</v>
          </cell>
          <cell r="J111">
            <v>156529</v>
          </cell>
          <cell r="L111">
            <v>190872</v>
          </cell>
          <cell r="M111">
            <v>90879</v>
          </cell>
          <cell r="N111">
            <v>67876</v>
          </cell>
          <cell r="P111">
            <v>56854</v>
          </cell>
          <cell r="Q111">
            <v>69509</v>
          </cell>
          <cell r="S111">
            <v>78183</v>
          </cell>
          <cell r="T111">
            <v>60194</v>
          </cell>
          <cell r="U111">
            <v>151785</v>
          </cell>
          <cell r="V111">
            <v>112569</v>
          </cell>
          <cell r="AE111">
            <v>1435254.6500000001</v>
          </cell>
          <cell r="AF111">
            <v>467161.34999999986</v>
          </cell>
          <cell r="AG111">
            <v>112569</v>
          </cell>
          <cell r="AH111">
            <v>112569</v>
          </cell>
          <cell r="AI111">
            <v>562845</v>
          </cell>
          <cell r="AU111">
            <v>40000</v>
          </cell>
          <cell r="AW111">
            <v>0</v>
          </cell>
          <cell r="AX111">
            <v>138750.88999999998</v>
          </cell>
          <cell r="AZ111">
            <v>24897</v>
          </cell>
          <cell r="BK111">
            <v>112569</v>
          </cell>
          <cell r="BL111">
            <v>112569</v>
          </cell>
          <cell r="BM111">
            <v>144306</v>
          </cell>
          <cell r="BN111">
            <v>117087</v>
          </cell>
          <cell r="BU111">
            <v>244046</v>
          </cell>
          <cell r="BW111">
            <v>117087</v>
          </cell>
          <cell r="BY111">
            <v>3948</v>
          </cell>
          <cell r="BZ111">
            <v>8798</v>
          </cell>
          <cell r="CA111">
            <v>4590</v>
          </cell>
          <cell r="CB111">
            <v>4590</v>
          </cell>
          <cell r="CC111">
            <v>10557</v>
          </cell>
          <cell r="CD111">
            <v>6120</v>
          </cell>
          <cell r="CM111">
            <v>30600</v>
          </cell>
          <cell r="CN111">
            <v>67731</v>
          </cell>
          <cell r="CO111">
            <v>8217</v>
          </cell>
          <cell r="CY111">
            <v>6075</v>
          </cell>
          <cell r="DA111">
            <v>50583</v>
          </cell>
          <cell r="DB111">
            <v>85000</v>
          </cell>
          <cell r="DC111">
            <v>225140</v>
          </cell>
          <cell r="DD111">
            <v>5596755.8899999997</v>
          </cell>
          <cell r="DE111">
            <v>56292.650000000373</v>
          </cell>
          <cell r="DF111">
            <v>5653048.54</v>
          </cell>
          <cell r="DG111">
            <v>109571.56</v>
          </cell>
          <cell r="DH111">
            <v>81770.5</v>
          </cell>
          <cell r="DI111">
            <v>5653048.54</v>
          </cell>
          <cell r="DJ111">
            <v>5844390.5999999996</v>
          </cell>
          <cell r="DK111">
            <v>2971616.6500000004</v>
          </cell>
          <cell r="DL111">
            <v>552923</v>
          </cell>
          <cell r="DM111">
            <v>40000</v>
          </cell>
          <cell r="DN111">
            <v>738577.34999999986</v>
          </cell>
          <cell r="DO111">
            <v>-225654.34999999986</v>
          </cell>
          <cell r="DP111">
            <v>-0.40811170814019287</v>
          </cell>
          <cell r="DQ111">
            <v>3572433</v>
          </cell>
          <cell r="DR111">
            <v>787983</v>
          </cell>
          <cell r="DS111">
            <v>0</v>
          </cell>
          <cell r="DT111">
            <v>163647.88999999998</v>
          </cell>
          <cell r="DU111">
            <v>0</v>
          </cell>
          <cell r="DV111">
            <v>0</v>
          </cell>
          <cell r="DW111">
            <v>50583</v>
          </cell>
          <cell r="DX111">
            <v>244046</v>
          </cell>
          <cell r="DY111">
            <v>281432.65000000037</v>
          </cell>
          <cell r="DZ111">
            <v>191342.06</v>
          </cell>
          <cell r="EA111">
            <v>-225654.34999999986</v>
          </cell>
          <cell r="EB111">
            <v>-0.40811170814019287</v>
          </cell>
          <cell r="EC111">
            <v>40000</v>
          </cell>
          <cell r="ED111">
            <v>738577.34999999986</v>
          </cell>
          <cell r="EE111">
            <v>552923</v>
          </cell>
          <cell r="EF111">
            <v>5844390.1918882914</v>
          </cell>
          <cell r="EH111">
            <v>3904448.6500000004</v>
          </cell>
          <cell r="EI111">
            <v>12759.636111111113</v>
          </cell>
          <cell r="EJ111">
            <v>11580.802777777779</v>
          </cell>
          <cell r="EK111">
            <v>5602465.54</v>
          </cell>
          <cell r="EL111">
            <v>5419970</v>
          </cell>
          <cell r="EM111">
            <v>182495.54000000004</v>
          </cell>
          <cell r="EN111">
            <v>3.3670950208211495E-2</v>
          </cell>
          <cell r="EO111">
            <v>233078.54000000004</v>
          </cell>
          <cell r="EP111">
            <v>424420.59999999963</v>
          </cell>
          <cell r="EQ111">
            <v>5489400.6500000004</v>
          </cell>
          <cell r="ER111">
            <v>4095790.7100000004</v>
          </cell>
          <cell r="ES111">
            <v>13384.936960784315</v>
          </cell>
          <cell r="ET111">
            <v>0</v>
          </cell>
          <cell r="EU111">
            <v>0</v>
          </cell>
          <cell r="EV111">
            <v>12759.636111111113</v>
          </cell>
          <cell r="EW111">
            <v>306</v>
          </cell>
        </row>
        <row r="112">
          <cell r="A112">
            <v>436</v>
          </cell>
          <cell r="B112" t="str">
            <v>Ron Brown College Preparatory HS</v>
          </cell>
          <cell r="C112" t="str">
            <v>HS</v>
          </cell>
          <cell r="D112">
            <v>7</v>
          </cell>
          <cell r="E112">
            <v>216</v>
          </cell>
          <cell r="F112">
            <v>0.875</v>
          </cell>
          <cell r="G112">
            <v>189</v>
          </cell>
          <cell r="H112">
            <v>195277</v>
          </cell>
          <cell r="I112">
            <v>112569</v>
          </cell>
          <cell r="J112">
            <v>109570</v>
          </cell>
          <cell r="L112">
            <v>127248</v>
          </cell>
          <cell r="M112">
            <v>45440</v>
          </cell>
          <cell r="N112">
            <v>67876</v>
          </cell>
          <cell r="P112">
            <v>56854</v>
          </cell>
          <cell r="Q112">
            <v>69509</v>
          </cell>
          <cell r="S112">
            <v>78183</v>
          </cell>
          <cell r="T112">
            <v>60194</v>
          </cell>
          <cell r="U112">
            <v>202380</v>
          </cell>
          <cell r="AE112">
            <v>1013120.8600000001</v>
          </cell>
          <cell r="AF112">
            <v>1019875.1399999999</v>
          </cell>
          <cell r="AG112">
            <v>112569</v>
          </cell>
          <cell r="AH112">
            <v>112569</v>
          </cell>
          <cell r="AI112">
            <v>787983</v>
          </cell>
          <cell r="AN112">
            <v>5628</v>
          </cell>
          <cell r="AU112">
            <v>60000</v>
          </cell>
          <cell r="AW112">
            <v>0</v>
          </cell>
          <cell r="AX112">
            <v>312117.33999999997</v>
          </cell>
          <cell r="AZ112">
            <v>0</v>
          </cell>
          <cell r="BD112">
            <v>112569</v>
          </cell>
          <cell r="BG112">
            <v>156529</v>
          </cell>
          <cell r="BH112">
            <v>14666</v>
          </cell>
          <cell r="BI112">
            <v>20550</v>
          </cell>
          <cell r="BJ112">
            <v>26000</v>
          </cell>
          <cell r="BK112">
            <v>225138</v>
          </cell>
          <cell r="BU112">
            <v>299968</v>
          </cell>
          <cell r="BW112">
            <v>117087</v>
          </cell>
          <cell r="BY112">
            <v>7612</v>
          </cell>
          <cell r="BZ112">
            <v>6210</v>
          </cell>
          <cell r="CA112">
            <v>3240</v>
          </cell>
          <cell r="CB112">
            <v>3240</v>
          </cell>
          <cell r="CC112">
            <v>7452</v>
          </cell>
          <cell r="CD112">
            <v>4320</v>
          </cell>
          <cell r="CE112">
            <v>117087</v>
          </cell>
          <cell r="CM112">
            <v>21600</v>
          </cell>
          <cell r="CN112">
            <v>73733</v>
          </cell>
          <cell r="CO112">
            <v>6387</v>
          </cell>
          <cell r="CY112">
            <v>13475</v>
          </cell>
          <cell r="DA112">
            <v>912937</v>
          </cell>
          <cell r="DC112">
            <v>56285</v>
          </cell>
          <cell r="DD112">
            <v>6755047.3399999999</v>
          </cell>
          <cell r="DE112">
            <v>-83084.708993894979</v>
          </cell>
          <cell r="DF112">
            <v>6671962.6310061049</v>
          </cell>
          <cell r="DG112">
            <v>118974.25</v>
          </cell>
          <cell r="DH112">
            <v>134015</v>
          </cell>
          <cell r="DI112">
            <v>6671962.6310061049</v>
          </cell>
          <cell r="DJ112">
            <v>6924951.8810061049</v>
          </cell>
          <cell r="DK112">
            <v>2265870.8600000003</v>
          </cell>
          <cell r="DL112">
            <v>530469</v>
          </cell>
          <cell r="DM112">
            <v>60000</v>
          </cell>
          <cell r="DN112">
            <v>1488363.14</v>
          </cell>
          <cell r="DO112">
            <v>-1017894.1399999999</v>
          </cell>
          <cell r="DP112">
            <v>-1.9188569737345631</v>
          </cell>
          <cell r="DQ112">
            <v>3624522</v>
          </cell>
          <cell r="DR112">
            <v>1013121</v>
          </cell>
          <cell r="DS112">
            <v>5628</v>
          </cell>
          <cell r="DT112">
            <v>312117.33999999997</v>
          </cell>
          <cell r="DU112">
            <v>0</v>
          </cell>
          <cell r="DV112">
            <v>0</v>
          </cell>
          <cell r="DW112">
            <v>912937</v>
          </cell>
          <cell r="DX112">
            <v>299968</v>
          </cell>
          <cell r="DY112">
            <v>-26799.708993894979</v>
          </cell>
          <cell r="DZ112">
            <v>252989.25</v>
          </cell>
          <cell r="EA112">
            <v>-1017894.1399999999</v>
          </cell>
          <cell r="EB112">
            <v>-1.9188569737345631</v>
          </cell>
          <cell r="EC112">
            <v>60000</v>
          </cell>
          <cell r="ED112">
            <v>1488363.14</v>
          </cell>
          <cell r="EE112">
            <v>530469</v>
          </cell>
          <cell r="EF112">
            <v>6924949.9621491311</v>
          </cell>
          <cell r="EH112">
            <v>4510659.291006105</v>
          </cell>
          <cell r="EI112">
            <v>20882.681902806042</v>
          </cell>
          <cell r="EJ112">
            <v>16395.543013917151</v>
          </cell>
          <cell r="EK112">
            <v>5759025.6310061049</v>
          </cell>
          <cell r="EL112">
            <v>6805977</v>
          </cell>
          <cell r="EM112">
            <v>-1046951.3689938951</v>
          </cell>
          <cell r="EN112">
            <v>-0.15382822613034031</v>
          </cell>
          <cell r="EO112">
            <v>-134014.36899389513</v>
          </cell>
          <cell r="EP112">
            <v>118974.88100610487</v>
          </cell>
          <cell r="EQ112">
            <v>6359845.291006105</v>
          </cell>
          <cell r="ER112">
            <v>4763648.541006105</v>
          </cell>
          <cell r="ES112">
            <v>22053.928430583819</v>
          </cell>
          <cell r="ET112">
            <v>0</v>
          </cell>
          <cell r="EU112">
            <v>0</v>
          </cell>
          <cell r="EV112">
            <v>20882.681902806042</v>
          </cell>
          <cell r="EW112">
            <v>216</v>
          </cell>
        </row>
        <row r="113">
          <cell r="A113">
            <v>459</v>
          </cell>
          <cell r="B113" t="str">
            <v>Roosevelt HS</v>
          </cell>
          <cell r="C113" t="str">
            <v>HS</v>
          </cell>
          <cell r="D113">
            <v>4</v>
          </cell>
          <cell r="E113">
            <v>790</v>
          </cell>
          <cell r="F113">
            <v>0.72699999999999998</v>
          </cell>
          <cell r="G113">
            <v>574</v>
          </cell>
          <cell r="H113">
            <v>195277</v>
          </cell>
          <cell r="I113">
            <v>112569</v>
          </cell>
          <cell r="J113">
            <v>406975</v>
          </cell>
          <cell r="L113">
            <v>445368</v>
          </cell>
          <cell r="M113">
            <v>90879</v>
          </cell>
          <cell r="N113">
            <v>67876</v>
          </cell>
          <cell r="O113">
            <v>101278</v>
          </cell>
          <cell r="P113">
            <v>56854</v>
          </cell>
          <cell r="Q113">
            <v>69509</v>
          </cell>
          <cell r="S113">
            <v>78183</v>
          </cell>
          <cell r="T113">
            <v>60194</v>
          </cell>
          <cell r="U113">
            <v>404760</v>
          </cell>
          <cell r="V113">
            <v>112569</v>
          </cell>
          <cell r="W113">
            <v>112569.07</v>
          </cell>
          <cell r="AE113">
            <v>3705396.2199999997</v>
          </cell>
          <cell r="AF113">
            <v>782729.78</v>
          </cell>
          <cell r="AG113">
            <v>225138</v>
          </cell>
          <cell r="AH113">
            <v>450276</v>
          </cell>
          <cell r="AI113">
            <v>1688535</v>
          </cell>
          <cell r="AJ113">
            <v>262416</v>
          </cell>
          <cell r="AK113">
            <v>55015</v>
          </cell>
          <cell r="AM113">
            <v>1801104</v>
          </cell>
          <cell r="AO113">
            <v>74976</v>
          </cell>
          <cell r="AQ113">
            <v>381744</v>
          </cell>
          <cell r="AU113">
            <v>75000</v>
          </cell>
          <cell r="AW113">
            <v>0</v>
          </cell>
          <cell r="AX113">
            <v>471867.19</v>
          </cell>
          <cell r="AZ113">
            <v>0</v>
          </cell>
          <cell r="BG113">
            <v>156529</v>
          </cell>
          <cell r="BH113">
            <v>25216</v>
          </cell>
          <cell r="BI113">
            <v>10000</v>
          </cell>
          <cell r="BJ113">
            <v>32000</v>
          </cell>
          <cell r="BK113">
            <v>225138</v>
          </cell>
          <cell r="BM113">
            <v>144306</v>
          </cell>
          <cell r="BP113">
            <v>112569</v>
          </cell>
          <cell r="BU113">
            <v>544014</v>
          </cell>
          <cell r="BW113">
            <v>117087</v>
          </cell>
          <cell r="BX113">
            <v>75000</v>
          </cell>
          <cell r="BY113">
            <v>11508</v>
          </cell>
          <cell r="BZ113">
            <v>22713</v>
          </cell>
          <cell r="CA113">
            <v>11850</v>
          </cell>
          <cell r="CB113">
            <v>11850</v>
          </cell>
          <cell r="CC113">
            <v>27255</v>
          </cell>
          <cell r="CD113">
            <v>15800</v>
          </cell>
          <cell r="CE113">
            <v>117087</v>
          </cell>
          <cell r="CI113">
            <v>117087</v>
          </cell>
          <cell r="CK113">
            <v>5000</v>
          </cell>
          <cell r="CL113">
            <v>113946</v>
          </cell>
          <cell r="CM113">
            <v>79000</v>
          </cell>
          <cell r="CN113">
            <v>192814</v>
          </cell>
          <cell r="CO113">
            <v>19264</v>
          </cell>
          <cell r="CY113">
            <v>40125</v>
          </cell>
          <cell r="DC113">
            <v>56285</v>
          </cell>
          <cell r="DD113">
            <v>14572500.26</v>
          </cell>
          <cell r="DE113">
            <v>-333057.61333299987</v>
          </cell>
          <cell r="DF113">
            <v>14239442.646667</v>
          </cell>
          <cell r="DG113">
            <v>427087.38</v>
          </cell>
          <cell r="DH113">
            <v>112569</v>
          </cell>
          <cell r="DI113">
            <v>14239442.646667</v>
          </cell>
          <cell r="DJ113">
            <v>14779099.026667001</v>
          </cell>
          <cell r="DK113">
            <v>6199890.29</v>
          </cell>
          <cell r="DL113">
            <v>1611054</v>
          </cell>
          <cell r="DM113">
            <v>75000</v>
          </cell>
          <cell r="DN113">
            <v>1319500.78</v>
          </cell>
          <cell r="DO113">
            <v>216553.21999999997</v>
          </cell>
          <cell r="DP113">
            <v>0.13441710830301154</v>
          </cell>
          <cell r="DQ113">
            <v>6875076.0699999994</v>
          </cell>
          <cell r="DR113">
            <v>2681380</v>
          </cell>
          <cell r="DS113">
            <v>2257824</v>
          </cell>
          <cell r="DT113">
            <v>546867.18999999994</v>
          </cell>
          <cell r="DU113">
            <v>0</v>
          </cell>
          <cell r="DV113">
            <v>0</v>
          </cell>
          <cell r="DW113">
            <v>0</v>
          </cell>
          <cell r="DX113">
            <v>544014</v>
          </cell>
          <cell r="DY113">
            <v>-276772.61333299987</v>
          </cell>
          <cell r="DZ113">
            <v>539656.38</v>
          </cell>
          <cell r="EA113">
            <v>216553.21999999997</v>
          </cell>
          <cell r="EB113">
            <v>0.13441710830301154</v>
          </cell>
          <cell r="EC113">
            <v>75000</v>
          </cell>
          <cell r="ED113">
            <v>1319500.78</v>
          </cell>
          <cell r="EE113">
            <v>1611054</v>
          </cell>
          <cell r="EF113">
            <v>14779099.16108411</v>
          </cell>
          <cell r="EH113">
            <v>6598303.4566669995</v>
          </cell>
          <cell r="EI113">
            <v>8352.2828565405052</v>
          </cell>
          <cell r="EJ113">
            <v>8281.0360210974686</v>
          </cell>
          <cell r="EK113">
            <v>14239442.646667</v>
          </cell>
          <cell r="EL113">
            <v>14093566</v>
          </cell>
          <cell r="EM113">
            <v>145876.64666699991</v>
          </cell>
          <cell r="EN113">
            <v>1.0350584562274723E-2</v>
          </cell>
          <cell r="EO113">
            <v>145876.64666699991</v>
          </cell>
          <cell r="EP113">
            <v>685533.02666700073</v>
          </cell>
          <cell r="EQ113">
            <v>13692575.456667</v>
          </cell>
          <cell r="ER113">
            <v>7137959.8366669994</v>
          </cell>
          <cell r="ES113">
            <v>9035.3921983126565</v>
          </cell>
          <cell r="ET113">
            <v>0</v>
          </cell>
          <cell r="EU113">
            <v>0</v>
          </cell>
          <cell r="EV113">
            <v>8352.2828565405052</v>
          </cell>
          <cell r="EW113">
            <v>790</v>
          </cell>
        </row>
        <row r="114">
          <cell r="A114">
            <v>466</v>
          </cell>
          <cell r="B114" t="str">
            <v>School Without Walls HS</v>
          </cell>
          <cell r="C114" t="str">
            <v>HS</v>
          </cell>
          <cell r="D114">
            <v>2</v>
          </cell>
          <cell r="E114">
            <v>600</v>
          </cell>
          <cell r="F114">
            <v>0.16800000000000001</v>
          </cell>
          <cell r="G114">
            <v>101</v>
          </cell>
          <cell r="H114">
            <v>195277</v>
          </cell>
          <cell r="I114">
            <v>112569</v>
          </cell>
          <cell r="J114">
            <v>313058</v>
          </cell>
          <cell r="L114">
            <v>318120</v>
          </cell>
          <cell r="M114">
            <v>90879</v>
          </cell>
          <cell r="N114">
            <v>67876</v>
          </cell>
          <cell r="O114">
            <v>75959</v>
          </cell>
          <cell r="P114">
            <v>56854</v>
          </cell>
          <cell r="Q114">
            <v>69509</v>
          </cell>
          <cell r="S114">
            <v>78183</v>
          </cell>
          <cell r="T114">
            <v>60194</v>
          </cell>
          <cell r="U114">
            <v>151785</v>
          </cell>
          <cell r="V114">
            <v>112569</v>
          </cell>
          <cell r="W114">
            <v>112569.07</v>
          </cell>
          <cell r="AE114">
            <v>2814225.0999999996</v>
          </cell>
          <cell r="AF114">
            <v>11256.90000000016</v>
          </cell>
          <cell r="AG114">
            <v>112569</v>
          </cell>
          <cell r="AH114">
            <v>112569</v>
          </cell>
          <cell r="AI114">
            <v>112569</v>
          </cell>
          <cell r="AL114">
            <v>117087</v>
          </cell>
          <cell r="AN114">
            <v>10131</v>
          </cell>
          <cell r="AW114">
            <v>0</v>
          </cell>
          <cell r="AX114">
            <v>0</v>
          </cell>
          <cell r="AY114">
            <v>15000</v>
          </cell>
          <cell r="AZ114">
            <v>0</v>
          </cell>
          <cell r="BU114">
            <v>244046</v>
          </cell>
          <cell r="BW114">
            <v>117087</v>
          </cell>
          <cell r="BZ114">
            <v>17250</v>
          </cell>
          <cell r="CA114">
            <v>9000</v>
          </cell>
          <cell r="CB114">
            <v>9000</v>
          </cell>
          <cell r="CC114">
            <v>20700</v>
          </cell>
          <cell r="CD114">
            <v>12000</v>
          </cell>
          <cell r="CM114">
            <v>60000</v>
          </cell>
          <cell r="CN114">
            <v>82278</v>
          </cell>
          <cell r="CO114">
            <v>7819</v>
          </cell>
          <cell r="CT114">
            <v>148035</v>
          </cell>
          <cell r="CU114">
            <v>519436</v>
          </cell>
          <cell r="CY114">
            <v>700</v>
          </cell>
          <cell r="DC114">
            <v>168854</v>
          </cell>
          <cell r="DD114">
            <v>6537013.0700000003</v>
          </cell>
          <cell r="DE114">
            <v>-112460.1378652202</v>
          </cell>
          <cell r="DF114">
            <v>6424552.9321347801</v>
          </cell>
          <cell r="DG114">
            <v>74853.009999999995</v>
          </cell>
          <cell r="DH114">
            <v>225138</v>
          </cell>
          <cell r="DI114">
            <v>6424552.9321347801</v>
          </cell>
          <cell r="DJ114">
            <v>6724543.9421347799</v>
          </cell>
          <cell r="DK114">
            <v>4674598.17</v>
          </cell>
          <cell r="DL114">
            <v>283479</v>
          </cell>
          <cell r="DM114">
            <v>0</v>
          </cell>
          <cell r="DN114">
            <v>11956.90000000016</v>
          </cell>
          <cell r="DO114">
            <v>271522.09999999986</v>
          </cell>
          <cell r="DP114">
            <v>0.95782086151002321</v>
          </cell>
          <cell r="DQ114">
            <v>4693238.07</v>
          </cell>
          <cell r="DR114">
            <v>454794</v>
          </cell>
          <cell r="DS114">
            <v>10131</v>
          </cell>
          <cell r="DT114">
            <v>15000</v>
          </cell>
          <cell r="DU114">
            <v>519436</v>
          </cell>
          <cell r="DV114">
            <v>148035</v>
          </cell>
          <cell r="DW114">
            <v>0</v>
          </cell>
          <cell r="DX114">
            <v>244046</v>
          </cell>
          <cell r="DY114">
            <v>56393.862134779803</v>
          </cell>
          <cell r="DZ114">
            <v>299991.01</v>
          </cell>
          <cell r="EA114">
            <v>271522.09999999986</v>
          </cell>
          <cell r="EB114">
            <v>0.95782086151002321</v>
          </cell>
          <cell r="EC114">
            <v>0</v>
          </cell>
          <cell r="ED114">
            <v>11956.90000000016</v>
          </cell>
          <cell r="EE114">
            <v>283479</v>
          </cell>
          <cell r="EF114">
            <v>6724544.8999556415</v>
          </cell>
          <cell r="EH114">
            <v>5417102.9321347801</v>
          </cell>
          <cell r="EI114">
            <v>9028.5048868913</v>
          </cell>
          <cell r="EJ114">
            <v>8747.0815535579677</v>
          </cell>
          <cell r="EK114">
            <v>6424552.9321347801</v>
          </cell>
          <cell r="EL114">
            <v>6564556</v>
          </cell>
          <cell r="EM114">
            <v>-140003.0678652199</v>
          </cell>
          <cell r="EN114">
            <v>-2.1327119132690756E-2</v>
          </cell>
          <cell r="EO114">
            <v>-140003.0678652199</v>
          </cell>
          <cell r="EP114">
            <v>159987.94213477988</v>
          </cell>
          <cell r="EQ114">
            <v>6409552.9321347801</v>
          </cell>
          <cell r="ER114">
            <v>5717093.9421347799</v>
          </cell>
          <cell r="ES114">
            <v>9528.4899035579656</v>
          </cell>
          <cell r="ET114">
            <v>0</v>
          </cell>
          <cell r="EU114">
            <v>0</v>
          </cell>
          <cell r="EV114">
            <v>9028.5048868913</v>
          </cell>
          <cell r="EW114">
            <v>600</v>
          </cell>
        </row>
        <row r="115">
          <cell r="A115">
            <v>463</v>
          </cell>
          <cell r="B115" t="str">
            <v>Wilson HS</v>
          </cell>
          <cell r="C115" t="str">
            <v>HS</v>
          </cell>
          <cell r="D115">
            <v>3</v>
          </cell>
          <cell r="E115">
            <v>2010</v>
          </cell>
          <cell r="F115">
            <v>0.23200000000000001</v>
          </cell>
          <cell r="G115">
            <v>466</v>
          </cell>
          <cell r="H115">
            <v>195277</v>
          </cell>
          <cell r="I115">
            <v>112569</v>
          </cell>
          <cell r="J115">
            <v>1048744</v>
          </cell>
          <cell r="L115">
            <v>1081608</v>
          </cell>
          <cell r="M115">
            <v>90879</v>
          </cell>
          <cell r="N115">
            <v>67876</v>
          </cell>
          <cell r="O115">
            <v>253195</v>
          </cell>
          <cell r="P115">
            <v>56854</v>
          </cell>
          <cell r="Q115">
            <v>69509</v>
          </cell>
          <cell r="S115">
            <v>78183</v>
          </cell>
          <cell r="T115">
            <v>60194</v>
          </cell>
          <cell r="U115">
            <v>607140</v>
          </cell>
          <cell r="V115">
            <v>112569</v>
          </cell>
          <cell r="W115">
            <v>112569.07</v>
          </cell>
          <cell r="AE115">
            <v>9427653.75</v>
          </cell>
          <cell r="AF115">
            <v>1604108.25</v>
          </cell>
          <cell r="AG115">
            <v>225138</v>
          </cell>
          <cell r="AH115">
            <v>450276</v>
          </cell>
          <cell r="AI115">
            <v>2814225</v>
          </cell>
          <cell r="AJ115">
            <v>299904</v>
          </cell>
          <cell r="AL115">
            <v>117087</v>
          </cell>
          <cell r="AM115">
            <v>787983</v>
          </cell>
          <cell r="AQ115">
            <v>127248</v>
          </cell>
          <cell r="AU115">
            <v>85000</v>
          </cell>
          <cell r="AW115">
            <v>0</v>
          </cell>
          <cell r="AX115">
            <v>0</v>
          </cell>
          <cell r="AY115">
            <v>50250</v>
          </cell>
          <cell r="AZ115">
            <v>24884</v>
          </cell>
          <cell r="BK115">
            <v>225138</v>
          </cell>
          <cell r="BM115">
            <v>144306</v>
          </cell>
          <cell r="BN115">
            <v>117087</v>
          </cell>
          <cell r="BU115">
            <v>620294</v>
          </cell>
          <cell r="BW115">
            <v>117087</v>
          </cell>
          <cell r="BZ115">
            <v>57788</v>
          </cell>
          <cell r="CA115">
            <v>30150</v>
          </cell>
          <cell r="CB115">
            <v>30150</v>
          </cell>
          <cell r="CC115">
            <v>69345</v>
          </cell>
          <cell r="CD115">
            <v>40200</v>
          </cell>
          <cell r="CE115">
            <v>117087</v>
          </cell>
          <cell r="CM115">
            <v>201000</v>
          </cell>
          <cell r="CN115">
            <v>320515</v>
          </cell>
          <cell r="CO115">
            <v>31242</v>
          </cell>
          <cell r="CY115">
            <v>38025</v>
          </cell>
          <cell r="DC115">
            <v>112569</v>
          </cell>
          <cell r="DD115">
            <v>22232906.07</v>
          </cell>
          <cell r="DE115">
            <v>-112295.18500000238</v>
          </cell>
          <cell r="DF115">
            <v>22120610.884999998</v>
          </cell>
          <cell r="DG115">
            <v>210982.97</v>
          </cell>
          <cell r="DH115">
            <v>213621</v>
          </cell>
          <cell r="DI115">
            <v>22120610.884999998</v>
          </cell>
          <cell r="DJ115">
            <v>22545214.854999997</v>
          </cell>
          <cell r="DK115">
            <v>13751917.82</v>
          </cell>
          <cell r="DL115">
            <v>1310736</v>
          </cell>
          <cell r="DM115">
            <v>85000</v>
          </cell>
          <cell r="DN115">
            <v>2020613.25</v>
          </cell>
          <cell r="DO115">
            <v>-794877.25</v>
          </cell>
          <cell r="DP115">
            <v>-0.60643581163560012</v>
          </cell>
          <cell r="DQ115">
            <v>15292312.07</v>
          </cell>
          <cell r="DR115">
            <v>3906630</v>
          </cell>
          <cell r="DS115">
            <v>915231</v>
          </cell>
          <cell r="DT115">
            <v>75134</v>
          </cell>
          <cell r="DU115">
            <v>0</v>
          </cell>
          <cell r="DV115">
            <v>0</v>
          </cell>
          <cell r="DW115">
            <v>0</v>
          </cell>
          <cell r="DX115">
            <v>620294</v>
          </cell>
          <cell r="DY115">
            <v>273.81499999761581</v>
          </cell>
          <cell r="DZ115">
            <v>424603.97</v>
          </cell>
          <cell r="EA115">
            <v>-794877.25</v>
          </cell>
          <cell r="EB115">
            <v>-0.60643581163560012</v>
          </cell>
          <cell r="EC115">
            <v>85000</v>
          </cell>
          <cell r="ED115">
            <v>2020613.25</v>
          </cell>
          <cell r="EE115">
            <v>1310736</v>
          </cell>
          <cell r="EF115">
            <v>22545214.248564184</v>
          </cell>
          <cell r="EH115">
            <v>15292585.884999998</v>
          </cell>
          <cell r="EI115">
            <v>7608.2516840796006</v>
          </cell>
          <cell r="EJ115">
            <v>7552.2472064676604</v>
          </cell>
          <cell r="EK115">
            <v>22120610.884999998</v>
          </cell>
          <cell r="EL115">
            <v>21793809</v>
          </cell>
          <cell r="EM115">
            <v>326801.88499999791</v>
          </cell>
          <cell r="EN115">
            <v>1.4995170646856541E-2</v>
          </cell>
          <cell r="EO115">
            <v>326801.88499999791</v>
          </cell>
          <cell r="EP115">
            <v>751405.85499999672</v>
          </cell>
          <cell r="EQ115">
            <v>22045476.884999998</v>
          </cell>
          <cell r="ER115">
            <v>15717189.854999999</v>
          </cell>
          <cell r="ES115">
            <v>7819.4974402985072</v>
          </cell>
          <cell r="ET115">
            <v>0</v>
          </cell>
          <cell r="EU115">
            <v>0</v>
          </cell>
          <cell r="EV115">
            <v>7608.2516840796006</v>
          </cell>
          <cell r="EW115">
            <v>2010</v>
          </cell>
        </row>
        <row r="116">
          <cell r="A116">
            <v>464</v>
          </cell>
          <cell r="B116" t="str">
            <v>Woodson, H.D. HS</v>
          </cell>
          <cell r="C116" t="str">
            <v>HS</v>
          </cell>
          <cell r="D116">
            <v>7</v>
          </cell>
          <cell r="E116">
            <v>487</v>
          </cell>
          <cell r="F116">
            <v>0.70399999999999996</v>
          </cell>
          <cell r="G116">
            <v>343</v>
          </cell>
          <cell r="H116">
            <v>195277</v>
          </cell>
          <cell r="I116">
            <v>112569</v>
          </cell>
          <cell r="J116">
            <v>250446</v>
          </cell>
          <cell r="L116">
            <v>254496</v>
          </cell>
          <cell r="M116">
            <v>90879</v>
          </cell>
          <cell r="N116">
            <v>67876</v>
          </cell>
          <cell r="O116">
            <v>60767</v>
          </cell>
          <cell r="P116">
            <v>56854</v>
          </cell>
          <cell r="Q116">
            <v>69509</v>
          </cell>
          <cell r="S116">
            <v>78183</v>
          </cell>
          <cell r="T116">
            <v>60194</v>
          </cell>
          <cell r="U116">
            <v>202380</v>
          </cell>
          <cell r="V116">
            <v>112569</v>
          </cell>
          <cell r="AE116">
            <v>2284212.3550000004</v>
          </cell>
          <cell r="AF116">
            <v>961151.64499999967</v>
          </cell>
          <cell r="AG116">
            <v>112569</v>
          </cell>
          <cell r="AH116">
            <v>337707</v>
          </cell>
          <cell r="AI116">
            <v>1575966</v>
          </cell>
          <cell r="AJ116">
            <v>224928</v>
          </cell>
          <cell r="AK116">
            <v>55015</v>
          </cell>
          <cell r="AN116">
            <v>20262</v>
          </cell>
          <cell r="AU116">
            <v>60000</v>
          </cell>
          <cell r="AW116">
            <v>0</v>
          </cell>
          <cell r="AX116">
            <v>438999.85</v>
          </cell>
          <cell r="AZ116">
            <v>74648.709999999992</v>
          </cell>
          <cell r="BG116">
            <v>156529</v>
          </cell>
          <cell r="BH116">
            <v>26216</v>
          </cell>
          <cell r="BI116">
            <v>9000</v>
          </cell>
          <cell r="BJ116">
            <v>30000</v>
          </cell>
          <cell r="BK116">
            <v>225138</v>
          </cell>
          <cell r="BM116">
            <v>432918</v>
          </cell>
          <cell r="BN116">
            <v>234174</v>
          </cell>
          <cell r="BP116">
            <v>112569</v>
          </cell>
          <cell r="BU116">
            <v>488092</v>
          </cell>
          <cell r="BW116">
            <v>117087</v>
          </cell>
          <cell r="BX116">
            <v>75000</v>
          </cell>
          <cell r="BY116">
            <v>6852</v>
          </cell>
          <cell r="BZ116">
            <v>14001</v>
          </cell>
          <cell r="CA116">
            <v>7305</v>
          </cell>
          <cell r="CB116">
            <v>7305</v>
          </cell>
          <cell r="CC116">
            <v>16802</v>
          </cell>
          <cell r="CD116">
            <v>9740</v>
          </cell>
          <cell r="CE116">
            <v>117087</v>
          </cell>
          <cell r="CK116">
            <v>5000</v>
          </cell>
          <cell r="CL116">
            <v>113946</v>
          </cell>
          <cell r="CM116">
            <v>48700</v>
          </cell>
          <cell r="CN116">
            <v>121245</v>
          </cell>
          <cell r="CO116">
            <v>7624</v>
          </cell>
          <cell r="CY116">
            <v>20800</v>
          </cell>
          <cell r="DA116">
            <v>961895</v>
          </cell>
          <cell r="DC116">
            <v>281423</v>
          </cell>
          <cell r="DD116">
            <v>11403906.559999999</v>
          </cell>
          <cell r="DE116">
            <v>-218006.87407044135</v>
          </cell>
          <cell r="DF116">
            <v>11185899.685929557</v>
          </cell>
          <cell r="DG116">
            <v>228622.26</v>
          </cell>
          <cell r="DH116">
            <v>56285</v>
          </cell>
          <cell r="DI116">
            <v>11185899.685929557</v>
          </cell>
          <cell r="DJ116">
            <v>11470806.945929557</v>
          </cell>
          <cell r="DK116">
            <v>4130401.3550000004</v>
          </cell>
          <cell r="DL116">
            <v>962703</v>
          </cell>
          <cell r="DM116">
            <v>60000</v>
          </cell>
          <cell r="DN116">
            <v>1994727.6449999996</v>
          </cell>
          <cell r="DO116">
            <v>-1092024.6449999996</v>
          </cell>
          <cell r="DP116">
            <v>-1.1343318188475568</v>
          </cell>
          <cell r="DQ116">
            <v>5794698</v>
          </cell>
          <cell r="DR116">
            <v>2306185</v>
          </cell>
          <cell r="DS116">
            <v>20262</v>
          </cell>
          <cell r="DT116">
            <v>588648.55999999994</v>
          </cell>
          <cell r="DU116">
            <v>0</v>
          </cell>
          <cell r="DV116">
            <v>0</v>
          </cell>
          <cell r="DW116">
            <v>961895</v>
          </cell>
          <cell r="DX116">
            <v>488092</v>
          </cell>
          <cell r="DY116">
            <v>63416.12592955865</v>
          </cell>
          <cell r="DZ116">
            <v>284907.26</v>
          </cell>
          <cell r="EA116">
            <v>-1092024.6449999996</v>
          </cell>
          <cell r="EB116">
            <v>-1.1343318188475568</v>
          </cell>
          <cell r="EC116">
            <v>60000</v>
          </cell>
          <cell r="ED116">
            <v>1994727.6449999996</v>
          </cell>
          <cell r="EE116">
            <v>962703</v>
          </cell>
          <cell r="EF116">
            <v>11470805.81159774</v>
          </cell>
          <cell r="EH116">
            <v>6820009.1259295586</v>
          </cell>
          <cell r="EI116">
            <v>14004.125515255768</v>
          </cell>
          <cell r="EJ116">
            <v>11451.111141539135</v>
          </cell>
          <cell r="EK116">
            <v>10224004.685929557</v>
          </cell>
          <cell r="EL116">
            <v>11209856</v>
          </cell>
          <cell r="EM116">
            <v>-985851.31407044269</v>
          </cell>
          <cell r="EN116">
            <v>-8.7945047114828478E-2</v>
          </cell>
          <cell r="EO116">
            <v>-23956.314070442691</v>
          </cell>
          <cell r="EP116">
            <v>260950.94592955709</v>
          </cell>
          <cell r="EQ116">
            <v>10597251.125929557</v>
          </cell>
          <cell r="ER116">
            <v>7104916.3859295584</v>
          </cell>
          <cell r="ES116">
            <v>14589.150689793754</v>
          </cell>
          <cell r="ET116">
            <v>0</v>
          </cell>
          <cell r="EU116">
            <v>0</v>
          </cell>
          <cell r="EV116">
            <v>14004.125515255768</v>
          </cell>
          <cell r="EW116">
            <v>487</v>
          </cell>
        </row>
        <row r="117">
          <cell r="A117">
            <v>950</v>
          </cell>
          <cell r="B117" t="str">
            <v>Inspiring Youth Program</v>
          </cell>
          <cell r="C117" t="str">
            <v>Alt</v>
          </cell>
          <cell r="D117">
            <v>7</v>
          </cell>
          <cell r="E117">
            <v>40</v>
          </cell>
          <cell r="F117">
            <v>0</v>
          </cell>
          <cell r="G117">
            <v>0</v>
          </cell>
          <cell r="I117">
            <v>56285</v>
          </cell>
          <cell r="L117">
            <v>127248</v>
          </cell>
          <cell r="M117">
            <v>45440</v>
          </cell>
          <cell r="N117">
            <v>67876</v>
          </cell>
          <cell r="V117">
            <v>56285</v>
          </cell>
          <cell r="W117">
            <v>112569.07</v>
          </cell>
          <cell r="X117">
            <v>56285</v>
          </cell>
          <cell r="AE117">
            <v>450276</v>
          </cell>
          <cell r="AG117">
            <v>112569</v>
          </cell>
          <cell r="AH117">
            <v>112569</v>
          </cell>
          <cell r="AI117">
            <v>562845</v>
          </cell>
          <cell r="AN117">
            <v>5628</v>
          </cell>
          <cell r="AU117">
            <v>15000</v>
          </cell>
          <cell r="AW117">
            <v>0</v>
          </cell>
          <cell r="AX117">
            <v>63735.057500000003</v>
          </cell>
          <cell r="AY117">
            <v>1000</v>
          </cell>
          <cell r="AZ117">
            <v>0</v>
          </cell>
          <cell r="BZ117">
            <v>1150</v>
          </cell>
          <cell r="CA117">
            <v>600</v>
          </cell>
          <cell r="CB117">
            <v>600</v>
          </cell>
          <cell r="CC117">
            <v>1380</v>
          </cell>
          <cell r="CD117">
            <v>800</v>
          </cell>
          <cell r="CM117">
            <v>4000</v>
          </cell>
          <cell r="CN117">
            <v>26610</v>
          </cell>
          <cell r="CO117">
            <v>2456</v>
          </cell>
          <cell r="CP117">
            <v>3422</v>
          </cell>
          <cell r="CQ117">
            <v>6000</v>
          </cell>
          <cell r="CR117">
            <v>96092</v>
          </cell>
          <cell r="CS117">
            <v>21000</v>
          </cell>
          <cell r="CU117">
            <v>26072</v>
          </cell>
          <cell r="DD117">
            <v>2035792.1275000002</v>
          </cell>
          <cell r="DE117">
            <v>-64244.848157225177</v>
          </cell>
          <cell r="DF117">
            <v>1971547.279342775</v>
          </cell>
          <cell r="DG117">
            <v>30700</v>
          </cell>
          <cell r="DH117">
            <v>0</v>
          </cell>
          <cell r="DI117">
            <v>1971547.279342775</v>
          </cell>
          <cell r="DJ117">
            <v>2002247.279342775</v>
          </cell>
          <cell r="DK117">
            <v>1136374.07</v>
          </cell>
          <cell r="DL117">
            <v>0</v>
          </cell>
          <cell r="DM117">
            <v>15000</v>
          </cell>
          <cell r="DN117">
            <v>0</v>
          </cell>
          <cell r="DO117">
            <v>-15000</v>
          </cell>
          <cell r="DP117" t="str">
            <v>N/A</v>
          </cell>
          <cell r="DQ117">
            <v>1151374.07</v>
          </cell>
          <cell r="DR117">
            <v>787983</v>
          </cell>
          <cell r="DS117">
            <v>5628</v>
          </cell>
          <cell r="DT117">
            <v>64735.057500000003</v>
          </cell>
          <cell r="DU117">
            <v>26072</v>
          </cell>
          <cell r="DV117">
            <v>0</v>
          </cell>
          <cell r="DW117">
            <v>0</v>
          </cell>
          <cell r="DX117">
            <v>0</v>
          </cell>
          <cell r="DY117">
            <v>-64244.848157225177</v>
          </cell>
          <cell r="DZ117">
            <v>30700</v>
          </cell>
          <cell r="EA117">
            <v>-15000</v>
          </cell>
          <cell r="EB117" t="str">
            <v>N/A</v>
          </cell>
          <cell r="EC117">
            <v>15000</v>
          </cell>
          <cell r="ED117">
            <v>0</v>
          </cell>
          <cell r="EE117">
            <v>0</v>
          </cell>
          <cell r="EF117">
            <v>2002247.279342775</v>
          </cell>
          <cell r="EH117">
            <v>1113201.2218427749</v>
          </cell>
          <cell r="EI117">
            <v>27830.030546069371</v>
          </cell>
          <cell r="EJ117">
            <v>27830.030546069371</v>
          </cell>
          <cell r="EK117">
            <v>1971547.279342775</v>
          </cell>
          <cell r="EL117">
            <v>1932921</v>
          </cell>
          <cell r="EM117">
            <v>38626.279342775</v>
          </cell>
          <cell r="EN117">
            <v>1.9983371975768799E-2</v>
          </cell>
          <cell r="EO117">
            <v>38626.279342775</v>
          </cell>
          <cell r="EP117">
            <v>69326.279342775</v>
          </cell>
          <cell r="EQ117">
            <v>1906812.2218427749</v>
          </cell>
          <cell r="ER117">
            <v>1143901.2218427749</v>
          </cell>
          <cell r="ES117">
            <v>28597.530546069371</v>
          </cell>
          <cell r="ET117">
            <v>0</v>
          </cell>
          <cell r="EU117" t="e">
            <v>#N/A</v>
          </cell>
          <cell r="EV117" t="e">
            <v>#N/A</v>
          </cell>
          <cell r="EW117" t="e">
            <v>#N/A</v>
          </cell>
        </row>
        <row r="118">
          <cell r="A118">
            <v>304</v>
          </cell>
          <cell r="B118" t="str">
            <v>River Terrace SEC</v>
          </cell>
          <cell r="C118" t="str">
            <v>SEC</v>
          </cell>
          <cell r="D118">
            <v>7</v>
          </cell>
          <cell r="E118">
            <v>132</v>
          </cell>
          <cell r="F118">
            <v>0.47</v>
          </cell>
          <cell r="G118">
            <v>62</v>
          </cell>
          <cell r="H118">
            <v>195277</v>
          </cell>
          <cell r="I118">
            <v>112569</v>
          </cell>
          <cell r="M118">
            <v>45440</v>
          </cell>
          <cell r="N118">
            <v>67876</v>
          </cell>
          <cell r="S118">
            <v>78183</v>
          </cell>
          <cell r="T118">
            <v>60194</v>
          </cell>
          <cell r="U118">
            <v>50595</v>
          </cell>
          <cell r="V118">
            <v>56285</v>
          </cell>
          <cell r="W118">
            <v>112569.07</v>
          </cell>
          <cell r="X118">
            <v>337707</v>
          </cell>
          <cell r="AE118">
            <v>619130</v>
          </cell>
          <cell r="AG118">
            <v>112569</v>
          </cell>
          <cell r="AH118">
            <v>112569</v>
          </cell>
          <cell r="AI118">
            <v>2363949</v>
          </cell>
          <cell r="AJ118">
            <v>862224</v>
          </cell>
          <cell r="AK118">
            <v>110030</v>
          </cell>
          <cell r="AM118">
            <v>112569</v>
          </cell>
          <cell r="AR118">
            <v>34000</v>
          </cell>
          <cell r="AS118">
            <v>23800</v>
          </cell>
          <cell r="AT118">
            <v>10200</v>
          </cell>
          <cell r="AW118">
            <v>30600</v>
          </cell>
          <cell r="AX118">
            <v>59854</v>
          </cell>
          <cell r="AZ118">
            <v>0</v>
          </cell>
          <cell r="BQ118">
            <v>225138</v>
          </cell>
          <cell r="BS118">
            <v>23000</v>
          </cell>
          <cell r="BU118">
            <v>111844</v>
          </cell>
          <cell r="BV118">
            <v>100000</v>
          </cell>
          <cell r="BY118">
            <v>1243</v>
          </cell>
          <cell r="BZ118">
            <v>1214</v>
          </cell>
          <cell r="CA118">
            <v>1320</v>
          </cell>
          <cell r="CB118">
            <v>1320</v>
          </cell>
          <cell r="CC118">
            <v>1518</v>
          </cell>
          <cell r="CD118">
            <v>2640</v>
          </cell>
          <cell r="CM118">
            <v>13200</v>
          </cell>
          <cell r="CN118">
            <v>90519</v>
          </cell>
          <cell r="CO118">
            <v>5047</v>
          </cell>
          <cell r="CY118">
            <v>7053</v>
          </cell>
          <cell r="DC118">
            <v>0</v>
          </cell>
          <cell r="DD118">
            <v>6153245.0700000003</v>
          </cell>
          <cell r="DE118">
            <v>-66760.480000000447</v>
          </cell>
          <cell r="DF118">
            <v>6086484.5899999999</v>
          </cell>
          <cell r="DG118">
            <v>25135.54</v>
          </cell>
          <cell r="DH118">
            <v>0</v>
          </cell>
          <cell r="DI118">
            <v>6086484.5899999999</v>
          </cell>
          <cell r="DJ118">
            <v>6111620.1299999999</v>
          </cell>
          <cell r="DK118">
            <v>2011769.07</v>
          </cell>
          <cell r="DL118">
            <v>174016</v>
          </cell>
          <cell r="DM118">
            <v>68000</v>
          </cell>
          <cell r="DN118">
            <v>8296</v>
          </cell>
          <cell r="DO118">
            <v>97720</v>
          </cell>
          <cell r="DP118">
            <v>0.56155755792570794</v>
          </cell>
          <cell r="DQ118">
            <v>2103021.0700000003</v>
          </cell>
          <cell r="DR118">
            <v>3561341</v>
          </cell>
          <cell r="DS118">
            <v>112569</v>
          </cell>
          <cell r="DT118">
            <v>90454</v>
          </cell>
          <cell r="DU118">
            <v>0</v>
          </cell>
          <cell r="DV118">
            <v>0</v>
          </cell>
          <cell r="DW118">
            <v>0</v>
          </cell>
          <cell r="DX118">
            <v>111844</v>
          </cell>
          <cell r="DY118">
            <v>-66760.480000000447</v>
          </cell>
          <cell r="DZ118">
            <v>25135.54</v>
          </cell>
          <cell r="EA118">
            <v>97720</v>
          </cell>
          <cell r="EB118">
            <v>0.56155755792570794</v>
          </cell>
          <cell r="EC118">
            <v>68000</v>
          </cell>
          <cell r="ED118">
            <v>8296</v>
          </cell>
          <cell r="EE118">
            <v>174016</v>
          </cell>
          <cell r="EF118">
            <v>6111620.6915575583</v>
          </cell>
          <cell r="EH118">
            <v>2036260.5899999999</v>
          </cell>
          <cell r="EI118">
            <v>15426.216590909089</v>
          </cell>
          <cell r="EJ118">
            <v>15426.216590909089</v>
          </cell>
          <cell r="EK118">
            <v>6086484.5899999999</v>
          </cell>
          <cell r="EL118">
            <v>5753987</v>
          </cell>
          <cell r="EM118">
            <v>332497.58999999985</v>
          </cell>
          <cell r="EN118">
            <v>5.7785599793673474E-2</v>
          </cell>
          <cell r="EO118">
            <v>332497.58999999985</v>
          </cell>
          <cell r="EP118">
            <v>357633.12999999989</v>
          </cell>
          <cell r="EQ118">
            <v>5996030.5899999999</v>
          </cell>
          <cell r="ER118">
            <v>2061396.13</v>
          </cell>
          <cell r="ES118">
            <v>15616.637348484848</v>
          </cell>
          <cell r="ET118">
            <v>0</v>
          </cell>
          <cell r="EU118">
            <v>0</v>
          </cell>
          <cell r="EV118">
            <v>15426.216590909089</v>
          </cell>
          <cell r="EW118">
            <v>132</v>
          </cell>
        </row>
        <row r="119">
          <cell r="A119">
            <v>462</v>
          </cell>
          <cell r="B119" t="str">
            <v>Ballou STAY</v>
          </cell>
          <cell r="C119" t="str">
            <v>STAY</v>
          </cell>
          <cell r="D119">
            <v>8</v>
          </cell>
          <cell r="E119">
            <v>469</v>
          </cell>
          <cell r="F119">
            <v>0</v>
          </cell>
          <cell r="G119">
            <v>0</v>
          </cell>
          <cell r="H119">
            <v>195277</v>
          </cell>
          <cell r="I119">
            <v>112569</v>
          </cell>
          <cell r="J119">
            <v>244185</v>
          </cell>
          <cell r="L119">
            <v>254496</v>
          </cell>
          <cell r="M119">
            <v>90879</v>
          </cell>
          <cell r="N119">
            <v>67876</v>
          </cell>
          <cell r="O119">
            <v>60767</v>
          </cell>
          <cell r="Q119">
            <v>69509</v>
          </cell>
          <cell r="S119">
            <v>78183</v>
          </cell>
          <cell r="T119">
            <v>60194</v>
          </cell>
          <cell r="U119">
            <v>50595</v>
          </cell>
          <cell r="W119">
            <v>112569.07</v>
          </cell>
          <cell r="AE119">
            <v>1824743</v>
          </cell>
          <cell r="AG119">
            <v>112569</v>
          </cell>
          <cell r="AH119">
            <v>337707</v>
          </cell>
          <cell r="AI119">
            <v>1125690</v>
          </cell>
          <cell r="AJ119">
            <v>74976</v>
          </cell>
          <cell r="AK119">
            <v>55015</v>
          </cell>
          <cell r="AN119">
            <v>25891</v>
          </cell>
          <cell r="AV119">
            <v>70000</v>
          </cell>
          <cell r="AW119">
            <v>0</v>
          </cell>
          <cell r="AX119">
            <v>0</v>
          </cell>
          <cell r="AY119">
            <v>11725</v>
          </cell>
          <cell r="AZ119">
            <v>0</v>
          </cell>
          <cell r="BU119">
            <v>188124</v>
          </cell>
          <cell r="BZ119">
            <v>13484</v>
          </cell>
          <cell r="CA119">
            <v>7035</v>
          </cell>
          <cell r="CB119">
            <v>7035</v>
          </cell>
          <cell r="CC119">
            <v>16181</v>
          </cell>
          <cell r="CD119">
            <v>9380</v>
          </cell>
          <cell r="CF119">
            <v>117087</v>
          </cell>
          <cell r="CH119">
            <v>150000</v>
          </cell>
          <cell r="CM119">
            <v>46900</v>
          </cell>
          <cell r="CN119">
            <v>79280</v>
          </cell>
          <cell r="CO119">
            <v>5974</v>
          </cell>
          <cell r="CZ119">
            <v>3025</v>
          </cell>
          <cell r="DC119">
            <v>150569</v>
          </cell>
          <cell r="DD119">
            <v>5829489.0700000003</v>
          </cell>
          <cell r="DE119">
            <v>-146559.53972433694</v>
          </cell>
          <cell r="DF119">
            <v>5682929.5302756634</v>
          </cell>
          <cell r="DG119">
            <v>230228.14</v>
          </cell>
          <cell r="DH119">
            <v>112569</v>
          </cell>
          <cell r="DI119">
            <v>5682929.5302756634</v>
          </cell>
          <cell r="DJ119">
            <v>6025726.670275663</v>
          </cell>
          <cell r="DK119">
            <v>3218139.0700000003</v>
          </cell>
          <cell r="DL119">
            <v>0</v>
          </cell>
          <cell r="DM119">
            <v>0</v>
          </cell>
          <cell r="DN119">
            <v>0</v>
          </cell>
          <cell r="DO119">
            <v>0</v>
          </cell>
          <cell r="DP119" t="str">
            <v>N/A</v>
          </cell>
          <cell r="DQ119">
            <v>3747223.0700000003</v>
          </cell>
          <cell r="DR119">
            <v>1705957</v>
          </cell>
          <cell r="DS119">
            <v>25891</v>
          </cell>
          <cell r="DT119">
            <v>11725</v>
          </cell>
          <cell r="DU119">
            <v>0</v>
          </cell>
          <cell r="DV119">
            <v>0</v>
          </cell>
          <cell r="DW119">
            <v>0</v>
          </cell>
          <cell r="DX119">
            <v>188124</v>
          </cell>
          <cell r="DY119">
            <v>4009.4602756630629</v>
          </cell>
          <cell r="DZ119">
            <v>342797.14</v>
          </cell>
          <cell r="EA119">
            <v>0</v>
          </cell>
          <cell r="EB119" t="str">
            <v>N/A</v>
          </cell>
          <cell r="EC119">
            <v>0</v>
          </cell>
          <cell r="ED119">
            <v>0</v>
          </cell>
          <cell r="EE119">
            <v>0</v>
          </cell>
          <cell r="EF119">
            <v>6025726.670275663</v>
          </cell>
          <cell r="EH119">
            <v>3751232.5302756634</v>
          </cell>
          <cell r="EI119">
            <v>7998.3636039992825</v>
          </cell>
          <cell r="EJ119">
            <v>7677.320960076041</v>
          </cell>
          <cell r="EK119">
            <v>5682929.5302756634</v>
          </cell>
          <cell r="EL119">
            <v>5478175</v>
          </cell>
          <cell r="EM119">
            <v>204754.53027566336</v>
          </cell>
          <cell r="EN119">
            <v>3.7376412815520378E-2</v>
          </cell>
          <cell r="EO119">
            <v>204754.53027566336</v>
          </cell>
          <cell r="EP119">
            <v>547551.67027566303</v>
          </cell>
          <cell r="EQ119">
            <v>5671204.5302756634</v>
          </cell>
          <cell r="ER119">
            <v>4094029.6702756635</v>
          </cell>
          <cell r="ES119">
            <v>8729.2743502679386</v>
          </cell>
          <cell r="ET119">
            <v>0</v>
          </cell>
          <cell r="EU119">
            <v>0</v>
          </cell>
          <cell r="EV119">
            <v>7998.3636039992825</v>
          </cell>
          <cell r="EW119">
            <v>469</v>
          </cell>
        </row>
        <row r="120">
          <cell r="A120">
            <v>456</v>
          </cell>
          <cell r="B120" t="str">
            <v>Roosevelt STAY</v>
          </cell>
          <cell r="C120" t="str">
            <v>STAY</v>
          </cell>
          <cell r="D120">
            <v>4</v>
          </cell>
          <cell r="E120">
            <v>695</v>
          </cell>
          <cell r="F120">
            <v>0</v>
          </cell>
          <cell r="G120">
            <v>0</v>
          </cell>
          <cell r="H120">
            <v>195277</v>
          </cell>
          <cell r="I120">
            <v>112569</v>
          </cell>
          <cell r="J120">
            <v>156529</v>
          </cell>
          <cell r="L120">
            <v>318120</v>
          </cell>
          <cell r="M120">
            <v>90879</v>
          </cell>
          <cell r="N120">
            <v>67876</v>
          </cell>
          <cell r="O120">
            <v>86086</v>
          </cell>
          <cell r="Q120">
            <v>69509</v>
          </cell>
          <cell r="S120">
            <v>78183</v>
          </cell>
          <cell r="T120">
            <v>60194</v>
          </cell>
          <cell r="U120">
            <v>50595</v>
          </cell>
          <cell r="W120">
            <v>112569.07</v>
          </cell>
          <cell r="AE120">
            <v>2885143</v>
          </cell>
          <cell r="AG120">
            <v>112569</v>
          </cell>
          <cell r="AH120">
            <v>225138</v>
          </cell>
          <cell r="AI120">
            <v>1125690</v>
          </cell>
          <cell r="AM120">
            <v>900552</v>
          </cell>
          <cell r="AQ120">
            <v>254496</v>
          </cell>
          <cell r="AV120">
            <v>70000</v>
          </cell>
          <cell r="AW120">
            <v>0</v>
          </cell>
          <cell r="AX120">
            <v>0</v>
          </cell>
          <cell r="AY120">
            <v>17375</v>
          </cell>
          <cell r="AZ120">
            <v>0</v>
          </cell>
          <cell r="BU120">
            <v>223687</v>
          </cell>
          <cell r="BX120">
            <v>75000</v>
          </cell>
          <cell r="BZ120">
            <v>19981</v>
          </cell>
          <cell r="CA120">
            <v>10425</v>
          </cell>
          <cell r="CB120">
            <v>10425</v>
          </cell>
          <cell r="CC120">
            <v>23978</v>
          </cell>
          <cell r="CD120">
            <v>13900</v>
          </cell>
          <cell r="CF120">
            <v>117087</v>
          </cell>
          <cell r="CH120">
            <v>150000</v>
          </cell>
          <cell r="CM120">
            <v>69500</v>
          </cell>
          <cell r="CN120">
            <v>110165</v>
          </cell>
          <cell r="CO120">
            <v>6924</v>
          </cell>
          <cell r="CZ120">
            <v>5225</v>
          </cell>
          <cell r="DA120">
            <v>29156</v>
          </cell>
          <cell r="DB120">
            <v>112569</v>
          </cell>
          <cell r="DC120">
            <v>0</v>
          </cell>
          <cell r="DD120">
            <v>7967371.0700000003</v>
          </cell>
          <cell r="DE120">
            <v>-146670.8266699994</v>
          </cell>
          <cell r="DF120">
            <v>7820700.2433300009</v>
          </cell>
          <cell r="DG120">
            <v>408869.2</v>
          </cell>
          <cell r="DH120">
            <v>366836.5</v>
          </cell>
          <cell r="DI120">
            <v>7820700.2433300009</v>
          </cell>
          <cell r="DJ120">
            <v>8596405.9433300011</v>
          </cell>
          <cell r="DK120">
            <v>4359855.07</v>
          </cell>
          <cell r="DL120">
            <v>0</v>
          </cell>
          <cell r="DM120">
            <v>0</v>
          </cell>
          <cell r="DN120">
            <v>0</v>
          </cell>
          <cell r="DO120">
            <v>0</v>
          </cell>
          <cell r="DP120" t="str">
            <v>N/A</v>
          </cell>
          <cell r="DQ120">
            <v>5003708.07</v>
          </cell>
          <cell r="DR120">
            <v>1463397</v>
          </cell>
          <cell r="DS120">
            <v>1155048</v>
          </cell>
          <cell r="DT120">
            <v>92375</v>
          </cell>
          <cell r="DU120">
            <v>0</v>
          </cell>
          <cell r="DV120">
            <v>0</v>
          </cell>
          <cell r="DW120">
            <v>29156</v>
          </cell>
          <cell r="DX120">
            <v>223687</v>
          </cell>
          <cell r="DY120">
            <v>-146670.8266699994</v>
          </cell>
          <cell r="DZ120">
            <v>775705.7</v>
          </cell>
          <cell r="EA120">
            <v>0</v>
          </cell>
          <cell r="EB120" t="str">
            <v>N/A</v>
          </cell>
          <cell r="EC120">
            <v>0</v>
          </cell>
          <cell r="ED120">
            <v>0</v>
          </cell>
          <cell r="EE120">
            <v>0</v>
          </cell>
          <cell r="EF120">
            <v>8596405.9433300011</v>
          </cell>
          <cell r="EH120">
            <v>4886193.2433300009</v>
          </cell>
          <cell r="EI120">
            <v>7030.4938752949656</v>
          </cell>
          <cell r="EJ120">
            <v>6826.5730119856125</v>
          </cell>
          <cell r="EK120">
            <v>7791544.2433300009</v>
          </cell>
          <cell r="EL120">
            <v>7894853</v>
          </cell>
          <cell r="EM120">
            <v>-103308.7566699991</v>
          </cell>
          <cell r="EN120">
            <v>-1.3085583312317418E-2</v>
          </cell>
          <cell r="EO120">
            <v>-74152.7566699991</v>
          </cell>
          <cell r="EP120">
            <v>701552.94333000109</v>
          </cell>
          <cell r="EQ120">
            <v>7728325.2433300009</v>
          </cell>
          <cell r="ER120">
            <v>5661898.9433300011</v>
          </cell>
          <cell r="ES120">
            <v>8146.6171846474836</v>
          </cell>
          <cell r="ET120">
            <v>0</v>
          </cell>
          <cell r="EU120">
            <v>0</v>
          </cell>
          <cell r="EV120">
            <v>7030.4938752949656</v>
          </cell>
          <cell r="EW120">
            <v>695</v>
          </cell>
        </row>
      </sheetData>
      <sheetData sheetId="3"/>
      <sheetData sheetId="4"/>
      <sheetData sheetId="5"/>
      <sheetData sheetId="6">
        <row r="4">
          <cell r="A4">
            <v>202</v>
          </cell>
          <cell r="B4" t="str">
            <v>Aiton</v>
          </cell>
          <cell r="C4" t="str">
            <v>ES</v>
          </cell>
          <cell r="D4">
            <v>7</v>
          </cell>
          <cell r="E4">
            <v>226</v>
          </cell>
          <cell r="F4">
            <v>0.90700000000000003</v>
          </cell>
          <cell r="G4">
            <v>205</v>
          </cell>
          <cell r="H4">
            <v>1</v>
          </cell>
          <cell r="I4">
            <v>1</v>
          </cell>
          <cell r="M4">
            <v>0.5</v>
          </cell>
          <cell r="N4">
            <v>1</v>
          </cell>
          <cell r="S4">
            <v>1</v>
          </cell>
          <cell r="T4">
            <v>1</v>
          </cell>
          <cell r="U4">
            <v>1</v>
          </cell>
          <cell r="V4">
            <v>0.5</v>
          </cell>
          <cell r="W4">
            <v>3</v>
          </cell>
          <cell r="Y4">
            <v>2</v>
          </cell>
          <cell r="AA4">
            <v>2</v>
          </cell>
          <cell r="AB4">
            <v>4</v>
          </cell>
          <cell r="AC4">
            <v>2</v>
          </cell>
          <cell r="AD4">
            <v>10</v>
          </cell>
          <cell r="AF4">
            <v>1</v>
          </cell>
          <cell r="AG4">
            <v>1</v>
          </cell>
          <cell r="AH4">
            <v>6</v>
          </cell>
          <cell r="AI4">
            <v>4</v>
          </cell>
          <cell r="AM4">
            <v>0.36</v>
          </cell>
          <cell r="AQ4">
            <v>3</v>
          </cell>
          <cell r="AR4">
            <v>3</v>
          </cell>
          <cell r="AS4">
            <v>1</v>
          </cell>
          <cell r="AT4">
            <v>0</v>
          </cell>
          <cell r="AV4">
            <v>27200</v>
          </cell>
          <cell r="AW4">
            <v>102474.01</v>
          </cell>
          <cell r="AX4">
            <v>0</v>
          </cell>
          <cell r="AY4">
            <v>0</v>
          </cell>
          <cell r="BG4">
            <v>0</v>
          </cell>
          <cell r="BH4">
            <v>0</v>
          </cell>
          <cell r="BI4">
            <v>0</v>
          </cell>
          <cell r="BR4">
            <v>0</v>
          </cell>
          <cell r="BS4">
            <v>0</v>
          </cell>
          <cell r="BT4">
            <v>55922</v>
          </cell>
          <cell r="BU4">
            <v>0</v>
          </cell>
          <cell r="BW4">
            <v>75000</v>
          </cell>
          <cell r="BX4">
            <v>8223</v>
          </cell>
          <cell r="BY4">
            <v>1300</v>
          </cell>
          <cell r="BZ4">
            <v>1130</v>
          </cell>
          <cell r="CA4">
            <v>1130</v>
          </cell>
          <cell r="CB4">
            <v>1300</v>
          </cell>
          <cell r="CC4">
            <v>4520</v>
          </cell>
          <cell r="CF4">
            <v>0</v>
          </cell>
          <cell r="CG4">
            <v>0</v>
          </cell>
          <cell r="CJ4">
            <v>0</v>
          </cell>
          <cell r="CK4">
            <v>0</v>
          </cell>
          <cell r="CL4">
            <v>22600</v>
          </cell>
          <cell r="CM4">
            <v>62733</v>
          </cell>
          <cell r="CN4">
            <v>4009</v>
          </cell>
          <cell r="CO4">
            <v>0</v>
          </cell>
          <cell r="CP4">
            <v>0</v>
          </cell>
          <cell r="CQ4">
            <v>0</v>
          </cell>
          <cell r="CR4">
            <v>0</v>
          </cell>
          <cell r="CS4">
            <v>0</v>
          </cell>
          <cell r="CT4">
            <v>0</v>
          </cell>
          <cell r="CU4">
            <v>13859</v>
          </cell>
          <cell r="CV4">
            <v>0</v>
          </cell>
          <cell r="CX4">
            <v>12650</v>
          </cell>
          <cell r="CY4">
            <v>0</v>
          </cell>
          <cell r="CZ4">
            <v>0</v>
          </cell>
          <cell r="DA4">
            <v>0</v>
          </cell>
          <cell r="DB4">
            <v>75000</v>
          </cell>
          <cell r="DC4">
            <v>4388899.01</v>
          </cell>
          <cell r="DD4">
            <v>174303.09</v>
          </cell>
          <cell r="DE4">
            <v>87574</v>
          </cell>
          <cell r="DF4">
            <v>49.36</v>
          </cell>
          <cell r="DH4">
            <v>46.68181818181818</v>
          </cell>
          <cell r="DI4">
            <v>-4.3218181818181804</v>
          </cell>
          <cell r="DJ4">
            <v>42.36</v>
          </cell>
          <cell r="DK4">
            <v>41.68181818181818</v>
          </cell>
          <cell r="DL4">
            <v>0.67818181818181955</v>
          </cell>
          <cell r="DM4">
            <v>0</v>
          </cell>
          <cell r="DN4">
            <v>7</v>
          </cell>
          <cell r="DO4">
            <v>169</v>
          </cell>
          <cell r="DP4">
            <v>16.899999999999999</v>
          </cell>
        </row>
        <row r="5">
          <cell r="A5">
            <v>203</v>
          </cell>
          <cell r="B5" t="str">
            <v>Amidon-Bowen</v>
          </cell>
          <cell r="C5" t="str">
            <v>ES</v>
          </cell>
          <cell r="D5">
            <v>6</v>
          </cell>
          <cell r="E5">
            <v>335</v>
          </cell>
          <cell r="F5">
            <v>0.63300000000000001</v>
          </cell>
          <cell r="G5">
            <v>212</v>
          </cell>
          <cell r="H5">
            <v>1</v>
          </cell>
          <cell r="I5">
            <v>1</v>
          </cell>
          <cell r="J5">
            <v>0.8</v>
          </cell>
          <cell r="M5">
            <v>1</v>
          </cell>
          <cell r="N5">
            <v>1</v>
          </cell>
          <cell r="S5">
            <v>1</v>
          </cell>
          <cell r="T5">
            <v>1</v>
          </cell>
          <cell r="U5">
            <v>2</v>
          </cell>
          <cell r="V5">
            <v>1</v>
          </cell>
          <cell r="W5">
            <v>3</v>
          </cell>
          <cell r="Y5">
            <v>2</v>
          </cell>
          <cell r="Z5">
            <v>1</v>
          </cell>
          <cell r="AA5">
            <v>2</v>
          </cell>
          <cell r="AB5">
            <v>5</v>
          </cell>
          <cell r="AC5">
            <v>3</v>
          </cell>
          <cell r="AD5">
            <v>13</v>
          </cell>
          <cell r="AF5">
            <v>1</v>
          </cell>
          <cell r="AG5">
            <v>1</v>
          </cell>
          <cell r="AH5">
            <v>7</v>
          </cell>
          <cell r="AI5">
            <v>2</v>
          </cell>
          <cell r="AM5">
            <v>0.36</v>
          </cell>
          <cell r="AQ5">
            <v>7</v>
          </cell>
          <cell r="AR5">
            <v>7</v>
          </cell>
          <cell r="AS5">
            <v>1</v>
          </cell>
          <cell r="AT5">
            <v>0</v>
          </cell>
          <cell r="AV5">
            <v>54400</v>
          </cell>
          <cell r="AW5">
            <v>151898.74000000002</v>
          </cell>
          <cell r="AX5">
            <v>0</v>
          </cell>
          <cell r="AY5">
            <v>0</v>
          </cell>
          <cell r="BD5">
            <v>1</v>
          </cell>
          <cell r="BG5">
            <v>0</v>
          </cell>
          <cell r="BH5">
            <v>0</v>
          </cell>
          <cell r="BI5">
            <v>0</v>
          </cell>
          <cell r="BR5">
            <v>0</v>
          </cell>
          <cell r="BS5">
            <v>0</v>
          </cell>
          <cell r="BT5">
            <v>55922</v>
          </cell>
          <cell r="BU5">
            <v>0</v>
          </cell>
          <cell r="BW5">
            <v>0</v>
          </cell>
          <cell r="BX5">
            <v>4243</v>
          </cell>
          <cell r="BY5">
            <v>1926</v>
          </cell>
          <cell r="BZ5">
            <v>1675</v>
          </cell>
          <cell r="CA5">
            <v>1675</v>
          </cell>
          <cell r="CB5">
            <v>1926</v>
          </cell>
          <cell r="CC5">
            <v>6700</v>
          </cell>
          <cell r="CF5">
            <v>0</v>
          </cell>
          <cell r="CG5">
            <v>0</v>
          </cell>
          <cell r="CJ5">
            <v>0</v>
          </cell>
          <cell r="CK5">
            <v>0</v>
          </cell>
          <cell r="CL5">
            <v>33500</v>
          </cell>
          <cell r="CM5">
            <v>74451</v>
          </cell>
          <cell r="CN5">
            <v>5669</v>
          </cell>
          <cell r="CO5">
            <v>0</v>
          </cell>
          <cell r="CP5">
            <v>0</v>
          </cell>
          <cell r="CQ5">
            <v>0</v>
          </cell>
          <cell r="CR5">
            <v>0</v>
          </cell>
          <cell r="CS5">
            <v>0</v>
          </cell>
          <cell r="CT5">
            <v>0</v>
          </cell>
          <cell r="CU5">
            <v>0</v>
          </cell>
          <cell r="CV5">
            <v>0</v>
          </cell>
          <cell r="CX5">
            <v>25350</v>
          </cell>
          <cell r="CY5">
            <v>0</v>
          </cell>
          <cell r="CZ5">
            <v>0</v>
          </cell>
          <cell r="DA5">
            <v>0</v>
          </cell>
          <cell r="DB5">
            <v>0</v>
          </cell>
          <cell r="DC5">
            <v>5319339.74</v>
          </cell>
          <cell r="DD5">
            <v>207970.41</v>
          </cell>
          <cell r="DE5">
            <v>229655</v>
          </cell>
          <cell r="DF5">
            <v>66.16</v>
          </cell>
          <cell r="DH5">
            <v>60.572727272727271</v>
          </cell>
          <cell r="DI5">
            <v>5.5872727272727261</v>
          </cell>
          <cell r="DJ5">
            <v>51.16</v>
          </cell>
          <cell r="DK5">
            <v>51.572727272727271</v>
          </cell>
          <cell r="DL5">
            <v>-0.41272727272727394</v>
          </cell>
          <cell r="DM5">
            <v>0</v>
          </cell>
          <cell r="DN5">
            <v>15</v>
          </cell>
          <cell r="DO5">
            <v>263</v>
          </cell>
          <cell r="DP5">
            <v>20.23076923076923</v>
          </cell>
        </row>
        <row r="6">
          <cell r="A6">
            <v>450</v>
          </cell>
          <cell r="B6" t="str">
            <v>Anacostia</v>
          </cell>
          <cell r="C6" t="str">
            <v>HS</v>
          </cell>
          <cell r="D6">
            <v>8</v>
          </cell>
          <cell r="E6">
            <v>357</v>
          </cell>
          <cell r="F6">
            <v>0.83499999999999996</v>
          </cell>
          <cell r="G6">
            <v>298</v>
          </cell>
          <cell r="H6">
            <v>1</v>
          </cell>
          <cell r="I6">
            <v>1</v>
          </cell>
          <cell r="J6">
            <v>1.2</v>
          </cell>
          <cell r="L6">
            <v>1.5</v>
          </cell>
          <cell r="M6">
            <v>1</v>
          </cell>
          <cell r="N6">
            <v>1</v>
          </cell>
          <cell r="P6">
            <v>1</v>
          </cell>
          <cell r="Q6">
            <v>1</v>
          </cell>
          <cell r="R6">
            <v>1</v>
          </cell>
          <cell r="S6">
            <v>1</v>
          </cell>
          <cell r="T6">
            <v>1</v>
          </cell>
          <cell r="U6">
            <v>6</v>
          </cell>
          <cell r="V6">
            <v>1</v>
          </cell>
          <cell r="AD6">
            <v>14.875</v>
          </cell>
          <cell r="AE6">
            <v>9.4450000000000003</v>
          </cell>
          <cell r="AF6">
            <v>1</v>
          </cell>
          <cell r="AG6">
            <v>4</v>
          </cell>
          <cell r="AH6">
            <v>14</v>
          </cell>
          <cell r="AI6">
            <v>10</v>
          </cell>
          <cell r="AJ6">
            <v>2</v>
          </cell>
          <cell r="AM6">
            <v>0.05</v>
          </cell>
          <cell r="AT6">
            <v>60000</v>
          </cell>
          <cell r="AV6">
            <v>0</v>
          </cell>
          <cell r="AW6">
            <v>382054.5</v>
          </cell>
          <cell r="AX6">
            <v>0</v>
          </cell>
          <cell r="AY6">
            <v>0</v>
          </cell>
          <cell r="BF6">
            <v>1</v>
          </cell>
          <cell r="BG6">
            <v>9336</v>
          </cell>
          <cell r="BH6">
            <v>25880</v>
          </cell>
          <cell r="BI6">
            <v>32000</v>
          </cell>
          <cell r="BL6">
            <v>1</v>
          </cell>
          <cell r="BR6">
            <v>0</v>
          </cell>
          <cell r="BS6">
            <v>0</v>
          </cell>
          <cell r="BT6">
            <v>615454</v>
          </cell>
          <cell r="BU6">
            <v>0</v>
          </cell>
          <cell r="BV6">
            <v>1</v>
          </cell>
          <cell r="BW6">
            <v>75000</v>
          </cell>
          <cell r="BX6">
            <v>11972</v>
          </cell>
          <cell r="BY6">
            <v>10264</v>
          </cell>
          <cell r="BZ6">
            <v>5355</v>
          </cell>
          <cell r="CA6">
            <v>5355</v>
          </cell>
          <cell r="CB6">
            <v>12317</v>
          </cell>
          <cell r="CC6">
            <v>7140</v>
          </cell>
          <cell r="CD6">
            <v>1</v>
          </cell>
          <cell r="CF6">
            <v>0</v>
          </cell>
          <cell r="CG6">
            <v>0</v>
          </cell>
          <cell r="CJ6">
            <v>0</v>
          </cell>
          <cell r="CK6">
            <v>0</v>
          </cell>
          <cell r="CL6">
            <v>35700</v>
          </cell>
          <cell r="CM6">
            <v>115863</v>
          </cell>
          <cell r="CN6">
            <v>9959</v>
          </cell>
          <cell r="CO6">
            <v>0</v>
          </cell>
          <cell r="CP6">
            <v>0</v>
          </cell>
          <cell r="CQ6">
            <v>0</v>
          </cell>
          <cell r="CR6">
            <v>0</v>
          </cell>
          <cell r="CS6">
            <v>0</v>
          </cell>
          <cell r="CT6">
            <v>0</v>
          </cell>
          <cell r="CU6">
            <v>0</v>
          </cell>
          <cell r="CV6">
            <v>0</v>
          </cell>
          <cell r="CX6">
            <v>10725</v>
          </cell>
          <cell r="CY6">
            <v>0</v>
          </cell>
          <cell r="CZ6">
            <v>166560</v>
          </cell>
          <cell r="DA6">
            <v>0</v>
          </cell>
          <cell r="DB6">
            <v>117086</v>
          </cell>
          <cell r="DC6">
            <v>9205752.5</v>
          </cell>
          <cell r="DD6">
            <v>174913.35</v>
          </cell>
          <cell r="DE6">
            <v>50639</v>
          </cell>
          <cell r="DF6">
            <v>78.070000000000007</v>
          </cell>
          <cell r="DH6">
            <v>80.156684167320336</v>
          </cell>
          <cell r="DI6">
            <v>-2.0866841673203282</v>
          </cell>
          <cell r="DJ6">
            <v>78.070000000000007</v>
          </cell>
          <cell r="DK6">
            <v>80.156684167320336</v>
          </cell>
          <cell r="DL6">
            <v>-2.0866841673203282</v>
          </cell>
          <cell r="DM6">
            <v>0</v>
          </cell>
          <cell r="DN6">
            <v>0</v>
          </cell>
          <cell r="DO6">
            <v>357</v>
          </cell>
          <cell r="DP6">
            <v>14.679276315789474</v>
          </cell>
        </row>
        <row r="7">
          <cell r="A7">
            <v>452</v>
          </cell>
          <cell r="B7" t="str">
            <v>Ballou</v>
          </cell>
          <cell r="C7" t="str">
            <v>HS</v>
          </cell>
          <cell r="D7">
            <v>8</v>
          </cell>
          <cell r="E7">
            <v>698</v>
          </cell>
          <cell r="F7">
            <v>0.85099999999999998</v>
          </cell>
          <cell r="G7">
            <v>594</v>
          </cell>
          <cell r="H7">
            <v>1</v>
          </cell>
          <cell r="I7">
            <v>1</v>
          </cell>
          <cell r="J7">
            <v>2.2999999999999998</v>
          </cell>
          <cell r="L7">
            <v>3</v>
          </cell>
          <cell r="M7">
            <v>1</v>
          </cell>
          <cell r="N7">
            <v>1</v>
          </cell>
          <cell r="O7">
            <v>1.7</v>
          </cell>
          <cell r="P7">
            <v>1</v>
          </cell>
          <cell r="Q7">
            <v>1</v>
          </cell>
          <cell r="R7">
            <v>1</v>
          </cell>
          <cell r="S7">
            <v>1</v>
          </cell>
          <cell r="T7">
            <v>1</v>
          </cell>
          <cell r="U7">
            <v>9</v>
          </cell>
          <cell r="V7">
            <v>1</v>
          </cell>
          <cell r="AD7">
            <v>29.083333333333332</v>
          </cell>
          <cell r="AE7">
            <v>11.006666666666671</v>
          </cell>
          <cell r="AF7">
            <v>2</v>
          </cell>
          <cell r="AG7">
            <v>5</v>
          </cell>
          <cell r="AH7">
            <v>18</v>
          </cell>
          <cell r="AI7">
            <v>7</v>
          </cell>
          <cell r="AJ7">
            <v>2</v>
          </cell>
          <cell r="AL7">
            <v>1</v>
          </cell>
          <cell r="AT7">
            <v>70000</v>
          </cell>
          <cell r="AV7">
            <v>0</v>
          </cell>
          <cell r="AW7">
            <v>546672.42000000004</v>
          </cell>
          <cell r="AX7">
            <v>0</v>
          </cell>
          <cell r="AY7">
            <v>25702</v>
          </cell>
          <cell r="BF7">
            <v>1</v>
          </cell>
          <cell r="BG7">
            <v>23216</v>
          </cell>
          <cell r="BH7">
            <v>22000</v>
          </cell>
          <cell r="BI7">
            <v>32000</v>
          </cell>
          <cell r="BL7">
            <v>2</v>
          </cell>
          <cell r="BM7">
            <v>1</v>
          </cell>
          <cell r="BO7">
            <v>1</v>
          </cell>
          <cell r="BR7">
            <v>0</v>
          </cell>
          <cell r="BS7">
            <v>0</v>
          </cell>
          <cell r="BT7">
            <v>732138</v>
          </cell>
          <cell r="BU7">
            <v>0</v>
          </cell>
          <cell r="BV7">
            <v>1</v>
          </cell>
          <cell r="BW7">
            <v>75000</v>
          </cell>
          <cell r="BX7">
            <v>23798</v>
          </cell>
          <cell r="BY7">
            <v>20068</v>
          </cell>
          <cell r="BZ7">
            <v>10470</v>
          </cell>
          <cell r="CA7">
            <v>10470</v>
          </cell>
          <cell r="CB7">
            <v>24081</v>
          </cell>
          <cell r="CC7">
            <v>13960</v>
          </cell>
          <cell r="CD7">
            <v>1</v>
          </cell>
          <cell r="CF7">
            <v>0</v>
          </cell>
          <cell r="CG7">
            <v>0</v>
          </cell>
          <cell r="CJ7">
            <v>5000</v>
          </cell>
          <cell r="CK7">
            <v>113946</v>
          </cell>
          <cell r="CL7">
            <v>69800</v>
          </cell>
          <cell r="CM7">
            <v>166731</v>
          </cell>
          <cell r="CN7">
            <v>13909</v>
          </cell>
          <cell r="CO7">
            <v>0</v>
          </cell>
          <cell r="CP7">
            <v>0</v>
          </cell>
          <cell r="CQ7">
            <v>0</v>
          </cell>
          <cell r="CR7">
            <v>0</v>
          </cell>
          <cell r="CS7">
            <v>0</v>
          </cell>
          <cell r="CT7">
            <v>0</v>
          </cell>
          <cell r="CU7">
            <v>0</v>
          </cell>
          <cell r="CV7">
            <v>0</v>
          </cell>
          <cell r="CX7">
            <v>44625</v>
          </cell>
          <cell r="CY7">
            <v>0</v>
          </cell>
          <cell r="CZ7">
            <v>0</v>
          </cell>
          <cell r="DA7">
            <v>0</v>
          </cell>
          <cell r="DB7">
            <v>0</v>
          </cell>
          <cell r="DC7">
            <v>12961309.42</v>
          </cell>
          <cell r="DD7">
            <v>365689.27</v>
          </cell>
          <cell r="DE7">
            <v>292718</v>
          </cell>
          <cell r="DF7">
            <v>108.09</v>
          </cell>
          <cell r="DH7">
            <v>101.12162516322678</v>
          </cell>
          <cell r="DI7">
            <v>6.9683748367732221</v>
          </cell>
          <cell r="DJ7">
            <v>108.09</v>
          </cell>
          <cell r="DK7">
            <v>101.12162516322678</v>
          </cell>
          <cell r="DL7">
            <v>6.9683748367732221</v>
          </cell>
          <cell r="DM7">
            <v>0</v>
          </cell>
          <cell r="DN7">
            <v>0</v>
          </cell>
          <cell r="DO7">
            <v>698</v>
          </cell>
          <cell r="DP7">
            <v>17.410825642304811</v>
          </cell>
        </row>
        <row r="8">
          <cell r="A8">
            <v>462</v>
          </cell>
          <cell r="B8" t="str">
            <v>Ballou STAY</v>
          </cell>
          <cell r="C8" t="str">
            <v>STAY</v>
          </cell>
          <cell r="D8">
            <v>8</v>
          </cell>
          <cell r="E8">
            <v>469</v>
          </cell>
          <cell r="F8">
            <v>0</v>
          </cell>
          <cell r="G8">
            <v>0</v>
          </cell>
          <cell r="H8">
            <v>1</v>
          </cell>
          <cell r="I8">
            <v>1</v>
          </cell>
          <cell r="J8">
            <v>1.56</v>
          </cell>
          <cell r="L8">
            <v>2</v>
          </cell>
          <cell r="M8">
            <v>1</v>
          </cell>
          <cell r="N8">
            <v>1</v>
          </cell>
          <cell r="O8">
            <v>1.2</v>
          </cell>
          <cell r="Q8">
            <v>1</v>
          </cell>
          <cell r="S8">
            <v>1</v>
          </cell>
          <cell r="T8">
            <v>1</v>
          </cell>
          <cell r="U8">
            <v>1</v>
          </cell>
          <cell r="AD8">
            <v>16.21</v>
          </cell>
          <cell r="AF8">
            <v>1</v>
          </cell>
          <cell r="AG8">
            <v>3</v>
          </cell>
          <cell r="AH8">
            <v>10</v>
          </cell>
          <cell r="AI8">
            <v>2</v>
          </cell>
          <cell r="AJ8">
            <v>1</v>
          </cell>
          <cell r="AM8">
            <v>0.23</v>
          </cell>
          <cell r="AT8">
            <v>0</v>
          </cell>
          <cell r="AU8">
            <v>70000</v>
          </cell>
          <cell r="AV8">
            <v>0</v>
          </cell>
          <cell r="AW8">
            <v>0</v>
          </cell>
          <cell r="AX8">
            <v>11725</v>
          </cell>
          <cell r="AY8">
            <v>0</v>
          </cell>
          <cell r="BG8">
            <v>0</v>
          </cell>
          <cell r="BH8">
            <v>0</v>
          </cell>
          <cell r="BI8">
            <v>0</v>
          </cell>
          <cell r="BR8">
            <v>0</v>
          </cell>
          <cell r="BS8">
            <v>0</v>
          </cell>
          <cell r="BT8">
            <v>188124</v>
          </cell>
          <cell r="BU8">
            <v>0</v>
          </cell>
          <cell r="BW8">
            <v>0</v>
          </cell>
          <cell r="BX8">
            <v>0</v>
          </cell>
          <cell r="BY8">
            <v>13484</v>
          </cell>
          <cell r="BZ8">
            <v>7035</v>
          </cell>
          <cell r="CA8">
            <v>7035</v>
          </cell>
          <cell r="CB8">
            <v>16181</v>
          </cell>
          <cell r="CC8">
            <v>9380</v>
          </cell>
          <cell r="CE8">
            <v>1</v>
          </cell>
          <cell r="CF8">
            <v>0</v>
          </cell>
          <cell r="CG8">
            <v>150000</v>
          </cell>
          <cell r="CJ8">
            <v>0</v>
          </cell>
          <cell r="CK8">
            <v>0</v>
          </cell>
          <cell r="CL8">
            <v>46900</v>
          </cell>
          <cell r="CM8">
            <v>79280</v>
          </cell>
          <cell r="CN8">
            <v>5974</v>
          </cell>
          <cell r="CO8">
            <v>0</v>
          </cell>
          <cell r="CP8">
            <v>0</v>
          </cell>
          <cell r="CQ8">
            <v>0</v>
          </cell>
          <cell r="CR8">
            <v>0</v>
          </cell>
          <cell r="CS8">
            <v>0</v>
          </cell>
          <cell r="CT8">
            <v>0</v>
          </cell>
          <cell r="CU8">
            <v>0</v>
          </cell>
          <cell r="CV8">
            <v>0</v>
          </cell>
          <cell r="CX8">
            <v>0</v>
          </cell>
          <cell r="CY8">
            <v>3025</v>
          </cell>
          <cell r="CZ8">
            <v>0</v>
          </cell>
          <cell r="DA8">
            <v>0</v>
          </cell>
          <cell r="DB8">
            <v>150569</v>
          </cell>
          <cell r="DC8">
            <v>5716920</v>
          </cell>
          <cell r="DD8">
            <v>230228.14</v>
          </cell>
          <cell r="DE8">
            <v>112569</v>
          </cell>
          <cell r="DF8">
            <v>47.199999999999996</v>
          </cell>
          <cell r="DH8">
            <v>48.278485297191018</v>
          </cell>
          <cell r="DI8">
            <v>-1.0784852971910226</v>
          </cell>
          <cell r="DJ8">
            <v>47.199999999999996</v>
          </cell>
          <cell r="DK8">
            <v>48.278485297191018</v>
          </cell>
          <cell r="DL8">
            <v>-1.0784852971910226</v>
          </cell>
          <cell r="DM8">
            <v>0</v>
          </cell>
          <cell r="DN8">
            <v>0</v>
          </cell>
          <cell r="DO8">
            <v>469</v>
          </cell>
          <cell r="DP8">
            <v>28.932757557063539</v>
          </cell>
        </row>
        <row r="9">
          <cell r="A9">
            <v>204</v>
          </cell>
          <cell r="B9" t="str">
            <v>Bancroft</v>
          </cell>
          <cell r="C9" t="str">
            <v>ES</v>
          </cell>
          <cell r="D9">
            <v>1</v>
          </cell>
          <cell r="E9">
            <v>662</v>
          </cell>
          <cell r="F9">
            <v>0.27300000000000002</v>
          </cell>
          <cell r="G9">
            <v>181</v>
          </cell>
          <cell r="H9">
            <v>1</v>
          </cell>
          <cell r="I9">
            <v>1</v>
          </cell>
          <cell r="J9">
            <v>1.7</v>
          </cell>
          <cell r="M9">
            <v>1</v>
          </cell>
          <cell r="N9">
            <v>1</v>
          </cell>
          <cell r="O9">
            <v>1.7</v>
          </cell>
          <cell r="S9">
            <v>1</v>
          </cell>
          <cell r="T9">
            <v>1</v>
          </cell>
          <cell r="U9">
            <v>4</v>
          </cell>
          <cell r="V9">
            <v>1</v>
          </cell>
          <cell r="W9">
            <v>5.5</v>
          </cell>
          <cell r="Y9">
            <v>3</v>
          </cell>
          <cell r="AA9">
            <v>3</v>
          </cell>
          <cell r="AB9">
            <v>6</v>
          </cell>
          <cell r="AC9">
            <v>4</v>
          </cell>
          <cell r="AD9">
            <v>25</v>
          </cell>
          <cell r="AF9">
            <v>1</v>
          </cell>
          <cell r="AG9">
            <v>2</v>
          </cell>
          <cell r="AH9">
            <v>10</v>
          </cell>
          <cell r="AI9">
            <v>4</v>
          </cell>
          <cell r="AL9">
            <v>15</v>
          </cell>
          <cell r="AO9">
            <v>3</v>
          </cell>
          <cell r="AQ9">
            <v>5</v>
          </cell>
          <cell r="AR9">
            <v>5</v>
          </cell>
          <cell r="AS9">
            <v>1</v>
          </cell>
          <cell r="AT9">
            <v>0</v>
          </cell>
          <cell r="AV9">
            <v>27200</v>
          </cell>
          <cell r="AW9">
            <v>300172.09000000003</v>
          </cell>
          <cell r="AX9">
            <v>0</v>
          </cell>
          <cell r="AY9">
            <v>0</v>
          </cell>
          <cell r="BG9">
            <v>0</v>
          </cell>
          <cell r="BH9">
            <v>0</v>
          </cell>
          <cell r="BI9">
            <v>0</v>
          </cell>
          <cell r="BR9">
            <v>0</v>
          </cell>
          <cell r="BS9">
            <v>0</v>
          </cell>
          <cell r="BT9">
            <v>111844</v>
          </cell>
          <cell r="BU9">
            <v>0</v>
          </cell>
          <cell r="BW9">
            <v>0</v>
          </cell>
          <cell r="BX9">
            <v>3629</v>
          </cell>
          <cell r="BY9">
            <v>3807</v>
          </cell>
          <cell r="BZ9">
            <v>3310</v>
          </cell>
          <cell r="CA9">
            <v>3310</v>
          </cell>
          <cell r="CB9">
            <v>3807</v>
          </cell>
          <cell r="CC9">
            <v>13240</v>
          </cell>
          <cell r="CF9">
            <v>0</v>
          </cell>
          <cell r="CG9">
            <v>0</v>
          </cell>
          <cell r="CJ9">
            <v>0</v>
          </cell>
          <cell r="CK9">
            <v>0</v>
          </cell>
          <cell r="CL9">
            <v>66200</v>
          </cell>
          <cell r="CM9">
            <v>151265</v>
          </cell>
          <cell r="CN9">
            <v>9493</v>
          </cell>
          <cell r="CO9">
            <v>0</v>
          </cell>
          <cell r="CP9">
            <v>0</v>
          </cell>
          <cell r="CQ9">
            <v>0</v>
          </cell>
          <cell r="CR9">
            <v>0</v>
          </cell>
          <cell r="CS9">
            <v>0</v>
          </cell>
          <cell r="CT9">
            <v>0</v>
          </cell>
          <cell r="CU9">
            <v>0</v>
          </cell>
          <cell r="CV9">
            <v>0</v>
          </cell>
          <cell r="CX9">
            <v>18150</v>
          </cell>
          <cell r="CY9">
            <v>0</v>
          </cell>
          <cell r="CZ9">
            <v>0</v>
          </cell>
          <cell r="DA9">
            <v>0</v>
          </cell>
          <cell r="DB9">
            <v>0</v>
          </cell>
          <cell r="DC9">
            <v>10161779.09</v>
          </cell>
          <cell r="DD9">
            <v>148057.42000000001</v>
          </cell>
          <cell r="DE9">
            <v>156529</v>
          </cell>
          <cell r="DF9">
            <v>106.9</v>
          </cell>
          <cell r="DH9">
            <v>105.70000000000002</v>
          </cell>
          <cell r="DI9">
            <v>1.1999999999999886</v>
          </cell>
          <cell r="DJ9">
            <v>95.9</v>
          </cell>
          <cell r="DK9">
            <v>96.700000000000017</v>
          </cell>
          <cell r="DL9">
            <v>-0.80000000000001137</v>
          </cell>
          <cell r="DM9">
            <v>0</v>
          </cell>
          <cell r="DN9">
            <v>11</v>
          </cell>
          <cell r="DO9">
            <v>560</v>
          </cell>
          <cell r="DP9">
            <v>22.4</v>
          </cell>
        </row>
        <row r="10">
          <cell r="A10">
            <v>1058</v>
          </cell>
          <cell r="B10" t="str">
            <v>Bard DC</v>
          </cell>
          <cell r="C10" t="str">
            <v>HS</v>
          </cell>
          <cell r="D10">
            <v>7</v>
          </cell>
          <cell r="E10">
            <v>385</v>
          </cell>
          <cell r="F10">
            <v>0.55100000000000005</v>
          </cell>
          <cell r="G10">
            <v>212</v>
          </cell>
          <cell r="H10">
            <v>1</v>
          </cell>
          <cell r="I10">
            <v>1</v>
          </cell>
          <cell r="J10">
            <v>1.3</v>
          </cell>
          <cell r="L10">
            <v>2</v>
          </cell>
          <cell r="M10">
            <v>1</v>
          </cell>
          <cell r="N10">
            <v>1</v>
          </cell>
          <cell r="P10">
            <v>1</v>
          </cell>
          <cell r="Q10">
            <v>1</v>
          </cell>
          <cell r="S10">
            <v>1</v>
          </cell>
          <cell r="T10">
            <v>1</v>
          </cell>
          <cell r="U10">
            <v>2</v>
          </cell>
          <cell r="V10">
            <v>1</v>
          </cell>
          <cell r="AD10">
            <v>16</v>
          </cell>
          <cell r="AE10">
            <v>0</v>
          </cell>
          <cell r="AF10">
            <v>1</v>
          </cell>
          <cell r="AG10">
            <v>1</v>
          </cell>
          <cell r="AH10">
            <v>2</v>
          </cell>
          <cell r="AM10">
            <v>0.18</v>
          </cell>
          <cell r="AT10">
            <v>25000</v>
          </cell>
          <cell r="AV10">
            <v>0</v>
          </cell>
          <cell r="AW10">
            <v>127469.34000000001</v>
          </cell>
          <cell r="AX10">
            <v>0</v>
          </cell>
          <cell r="AY10">
            <v>0</v>
          </cell>
          <cell r="BG10">
            <v>0</v>
          </cell>
          <cell r="BH10">
            <v>0</v>
          </cell>
          <cell r="BI10">
            <v>0</v>
          </cell>
          <cell r="BR10">
            <v>0</v>
          </cell>
          <cell r="BS10">
            <v>0</v>
          </cell>
          <cell r="BT10">
            <v>188124</v>
          </cell>
          <cell r="BU10">
            <v>0</v>
          </cell>
          <cell r="BV10">
            <v>1</v>
          </cell>
          <cell r="BW10">
            <v>0</v>
          </cell>
          <cell r="BX10">
            <v>0</v>
          </cell>
          <cell r="BY10">
            <v>11069</v>
          </cell>
          <cell r="BZ10">
            <v>5775</v>
          </cell>
          <cell r="CA10">
            <v>5775</v>
          </cell>
          <cell r="CB10">
            <v>13283</v>
          </cell>
          <cell r="CC10">
            <v>7700</v>
          </cell>
          <cell r="CF10">
            <v>0</v>
          </cell>
          <cell r="CG10">
            <v>0</v>
          </cell>
          <cell r="CJ10">
            <v>0</v>
          </cell>
          <cell r="CK10">
            <v>0</v>
          </cell>
          <cell r="CL10">
            <v>38500</v>
          </cell>
          <cell r="CM10">
            <v>61052</v>
          </cell>
          <cell r="CN10">
            <v>6327</v>
          </cell>
          <cell r="CO10">
            <v>0</v>
          </cell>
          <cell r="CP10">
            <v>0</v>
          </cell>
          <cell r="CQ10">
            <v>0</v>
          </cell>
          <cell r="CR10">
            <v>0</v>
          </cell>
          <cell r="CS10">
            <v>0</v>
          </cell>
          <cell r="CT10">
            <v>800000</v>
          </cell>
          <cell r="CU10">
            <v>0</v>
          </cell>
          <cell r="CV10">
            <v>0</v>
          </cell>
          <cell r="CX10">
            <v>18152</v>
          </cell>
          <cell r="CY10">
            <v>0</v>
          </cell>
          <cell r="CZ10">
            <v>0</v>
          </cell>
          <cell r="DA10">
            <v>0</v>
          </cell>
          <cell r="DB10">
            <v>56285</v>
          </cell>
          <cell r="DC10">
            <v>5156324.34</v>
          </cell>
          <cell r="DD10">
            <v>139008.12</v>
          </cell>
          <cell r="DE10">
            <v>104158</v>
          </cell>
          <cell r="DF10">
            <v>35.479999999999997</v>
          </cell>
          <cell r="DH10">
            <v>31.027273175978898</v>
          </cell>
          <cell r="DI10">
            <v>4.4527268240210987</v>
          </cell>
          <cell r="DJ10">
            <v>35.479999999999997</v>
          </cell>
          <cell r="DK10">
            <v>31.027273175978898</v>
          </cell>
          <cell r="DL10">
            <v>4.4527268240210987</v>
          </cell>
          <cell r="DM10">
            <v>0</v>
          </cell>
          <cell r="DN10">
            <v>0</v>
          </cell>
          <cell r="DO10">
            <v>385</v>
          </cell>
          <cell r="DP10" t="str">
            <v>N/A</v>
          </cell>
        </row>
        <row r="11">
          <cell r="A11">
            <v>205</v>
          </cell>
          <cell r="B11" t="str">
            <v>Barnard</v>
          </cell>
          <cell r="C11" t="str">
            <v>ES</v>
          </cell>
          <cell r="D11">
            <v>4</v>
          </cell>
          <cell r="E11">
            <v>640</v>
          </cell>
          <cell r="F11">
            <v>0.44500000000000001</v>
          </cell>
          <cell r="G11">
            <v>285</v>
          </cell>
          <cell r="H11">
            <v>1</v>
          </cell>
          <cell r="I11">
            <v>1</v>
          </cell>
          <cell r="J11">
            <v>1.6</v>
          </cell>
          <cell r="M11">
            <v>1</v>
          </cell>
          <cell r="N11">
            <v>1</v>
          </cell>
          <cell r="O11">
            <v>1.6</v>
          </cell>
          <cell r="S11">
            <v>1</v>
          </cell>
          <cell r="T11">
            <v>1</v>
          </cell>
          <cell r="U11">
            <v>3</v>
          </cell>
          <cell r="V11">
            <v>1</v>
          </cell>
          <cell r="W11">
            <v>5.5</v>
          </cell>
          <cell r="Y11">
            <v>4</v>
          </cell>
          <cell r="AA11">
            <v>4</v>
          </cell>
          <cell r="AB11">
            <v>8</v>
          </cell>
          <cell r="AC11">
            <v>4</v>
          </cell>
          <cell r="AD11">
            <v>23</v>
          </cell>
          <cell r="AF11">
            <v>1</v>
          </cell>
          <cell r="AG11">
            <v>2</v>
          </cell>
          <cell r="AH11">
            <v>8</v>
          </cell>
          <cell r="AI11">
            <v>6</v>
          </cell>
          <cell r="AL11">
            <v>14</v>
          </cell>
          <cell r="AO11">
            <v>3</v>
          </cell>
          <cell r="AQ11">
            <v>21</v>
          </cell>
          <cell r="AR11">
            <v>21</v>
          </cell>
          <cell r="AS11">
            <v>1</v>
          </cell>
          <cell r="AT11">
            <v>0</v>
          </cell>
          <cell r="AV11">
            <v>149600</v>
          </cell>
          <cell r="AW11">
            <v>290196.18</v>
          </cell>
          <cell r="AX11">
            <v>0</v>
          </cell>
          <cell r="AY11">
            <v>0</v>
          </cell>
          <cell r="BG11">
            <v>0</v>
          </cell>
          <cell r="BH11">
            <v>0</v>
          </cell>
          <cell r="BI11">
            <v>0</v>
          </cell>
          <cell r="BR11">
            <v>0</v>
          </cell>
          <cell r="BS11">
            <v>0</v>
          </cell>
          <cell r="BT11">
            <v>111844</v>
          </cell>
          <cell r="BU11">
            <v>0</v>
          </cell>
          <cell r="BW11">
            <v>0</v>
          </cell>
          <cell r="BX11">
            <v>5701</v>
          </cell>
          <cell r="BY11">
            <v>3680</v>
          </cell>
          <cell r="BZ11">
            <v>3200</v>
          </cell>
          <cell r="CA11">
            <v>3200</v>
          </cell>
          <cell r="CB11">
            <v>3680</v>
          </cell>
          <cell r="CC11">
            <v>12800</v>
          </cell>
          <cell r="CF11">
            <v>0</v>
          </cell>
          <cell r="CG11">
            <v>0</v>
          </cell>
          <cell r="CJ11">
            <v>0</v>
          </cell>
          <cell r="CK11">
            <v>0</v>
          </cell>
          <cell r="CL11">
            <v>64000</v>
          </cell>
          <cell r="CM11">
            <v>147094</v>
          </cell>
          <cell r="CN11">
            <v>6572</v>
          </cell>
          <cell r="CO11">
            <v>0</v>
          </cell>
          <cell r="CP11">
            <v>0</v>
          </cell>
          <cell r="CQ11">
            <v>0</v>
          </cell>
          <cell r="CR11">
            <v>0</v>
          </cell>
          <cell r="CS11">
            <v>0</v>
          </cell>
          <cell r="CT11">
            <v>0</v>
          </cell>
          <cell r="CU11">
            <v>0</v>
          </cell>
          <cell r="CV11">
            <v>0</v>
          </cell>
          <cell r="CX11">
            <v>22275</v>
          </cell>
          <cell r="CY11">
            <v>0</v>
          </cell>
          <cell r="CZ11">
            <v>0</v>
          </cell>
          <cell r="DA11">
            <v>0</v>
          </cell>
          <cell r="DB11">
            <v>0</v>
          </cell>
          <cell r="DC11">
            <v>10106327.18</v>
          </cell>
          <cell r="DD11">
            <v>122274.11</v>
          </cell>
          <cell r="DE11">
            <v>0</v>
          </cell>
          <cell r="DF11">
            <v>138.69999999999999</v>
          </cell>
          <cell r="DH11">
            <v>118.20000000000002</v>
          </cell>
          <cell r="DI11">
            <v>20.499999999999972</v>
          </cell>
          <cell r="DJ11">
            <v>95.7</v>
          </cell>
          <cell r="DK11">
            <v>95.200000000000017</v>
          </cell>
          <cell r="DL11">
            <v>0.49999999999998579</v>
          </cell>
          <cell r="DM11">
            <v>0</v>
          </cell>
          <cell r="DN11">
            <v>43</v>
          </cell>
          <cell r="DO11">
            <v>503</v>
          </cell>
          <cell r="DP11">
            <v>21.869565217391305</v>
          </cell>
        </row>
        <row r="12">
          <cell r="A12">
            <v>206</v>
          </cell>
          <cell r="B12" t="str">
            <v>Beers</v>
          </cell>
          <cell r="C12" t="str">
            <v>ES</v>
          </cell>
          <cell r="D12">
            <v>7</v>
          </cell>
          <cell r="E12">
            <v>456</v>
          </cell>
          <cell r="F12">
            <v>0.53500000000000003</v>
          </cell>
          <cell r="G12">
            <v>244</v>
          </cell>
          <cell r="H12">
            <v>1</v>
          </cell>
          <cell r="I12">
            <v>1</v>
          </cell>
          <cell r="J12">
            <v>1.1000000000000001</v>
          </cell>
          <cell r="M12">
            <v>1</v>
          </cell>
          <cell r="N12">
            <v>1</v>
          </cell>
          <cell r="O12">
            <v>1.1000000000000001</v>
          </cell>
          <cell r="S12">
            <v>1</v>
          </cell>
          <cell r="T12">
            <v>1</v>
          </cell>
          <cell r="U12">
            <v>2</v>
          </cell>
          <cell r="V12">
            <v>1</v>
          </cell>
          <cell r="W12">
            <v>4.5</v>
          </cell>
          <cell r="Y12">
            <v>2</v>
          </cell>
          <cell r="Z12">
            <v>1</v>
          </cell>
          <cell r="AA12">
            <v>2</v>
          </cell>
          <cell r="AB12">
            <v>5</v>
          </cell>
          <cell r="AC12">
            <v>3</v>
          </cell>
          <cell r="AD12">
            <v>19</v>
          </cell>
          <cell r="AF12">
            <v>1</v>
          </cell>
          <cell r="AG12">
            <v>2</v>
          </cell>
          <cell r="AH12">
            <v>10</v>
          </cell>
          <cell r="AI12">
            <v>12</v>
          </cell>
          <cell r="AK12">
            <v>1</v>
          </cell>
          <cell r="AM12">
            <v>0.05</v>
          </cell>
          <cell r="AQ12">
            <v>9</v>
          </cell>
          <cell r="AR12">
            <v>9</v>
          </cell>
          <cell r="AT12">
            <v>0</v>
          </cell>
          <cell r="AV12">
            <v>68000</v>
          </cell>
          <cell r="AW12">
            <v>206764.29000000004</v>
          </cell>
          <cell r="AX12">
            <v>0</v>
          </cell>
          <cell r="AY12">
            <v>0</v>
          </cell>
          <cell r="BG12">
            <v>0</v>
          </cell>
          <cell r="BH12">
            <v>0</v>
          </cell>
          <cell r="BI12">
            <v>0</v>
          </cell>
          <cell r="BR12">
            <v>0</v>
          </cell>
          <cell r="BS12">
            <v>0</v>
          </cell>
          <cell r="BT12">
            <v>55922</v>
          </cell>
          <cell r="BU12">
            <v>0</v>
          </cell>
          <cell r="BW12">
            <v>0</v>
          </cell>
          <cell r="BX12">
            <v>4884</v>
          </cell>
          <cell r="BY12">
            <v>2622</v>
          </cell>
          <cell r="BZ12">
            <v>2280</v>
          </cell>
          <cell r="CA12">
            <v>2280</v>
          </cell>
          <cell r="CB12">
            <v>2622</v>
          </cell>
          <cell r="CC12">
            <v>9120</v>
          </cell>
          <cell r="CF12">
            <v>0</v>
          </cell>
          <cell r="CG12">
            <v>0</v>
          </cell>
          <cell r="CJ12">
            <v>0</v>
          </cell>
          <cell r="CK12">
            <v>0</v>
          </cell>
          <cell r="CL12">
            <v>45600</v>
          </cell>
          <cell r="CM12">
            <v>106102</v>
          </cell>
          <cell r="CN12">
            <v>6170</v>
          </cell>
          <cell r="CO12">
            <v>0</v>
          </cell>
          <cell r="CP12">
            <v>0</v>
          </cell>
          <cell r="CQ12">
            <v>0</v>
          </cell>
          <cell r="CR12">
            <v>0</v>
          </cell>
          <cell r="CS12">
            <v>0</v>
          </cell>
          <cell r="CT12">
            <v>0</v>
          </cell>
          <cell r="CU12">
            <v>13859</v>
          </cell>
          <cell r="CV12">
            <v>0</v>
          </cell>
          <cell r="CX12">
            <v>31525</v>
          </cell>
          <cell r="CY12">
            <v>0</v>
          </cell>
          <cell r="CZ12">
            <v>0</v>
          </cell>
          <cell r="DA12">
            <v>0</v>
          </cell>
          <cell r="DB12">
            <v>10200</v>
          </cell>
          <cell r="DC12">
            <v>7213061.29</v>
          </cell>
          <cell r="DD12">
            <v>232342.93</v>
          </cell>
          <cell r="DE12">
            <v>296221</v>
          </cell>
          <cell r="DF12">
            <v>91.75</v>
          </cell>
          <cell r="DH12">
            <v>80.945454545454552</v>
          </cell>
          <cell r="DI12">
            <v>10.804545454545448</v>
          </cell>
          <cell r="DJ12">
            <v>73.75</v>
          </cell>
          <cell r="DK12">
            <v>70.945454545454552</v>
          </cell>
          <cell r="DL12">
            <v>2.8045454545454476</v>
          </cell>
          <cell r="DM12">
            <v>0</v>
          </cell>
          <cell r="DN12">
            <v>18</v>
          </cell>
          <cell r="DO12">
            <v>373</v>
          </cell>
          <cell r="DP12">
            <v>19.631578947368421</v>
          </cell>
        </row>
        <row r="13">
          <cell r="A13">
            <v>402</v>
          </cell>
          <cell r="B13" t="str">
            <v>Benjamin Banneker</v>
          </cell>
          <cell r="C13" t="str">
            <v>HS</v>
          </cell>
          <cell r="D13">
            <v>1</v>
          </cell>
          <cell r="E13">
            <v>572</v>
          </cell>
          <cell r="F13">
            <v>0.24099999999999999</v>
          </cell>
          <cell r="G13">
            <v>138</v>
          </cell>
          <cell r="H13">
            <v>1</v>
          </cell>
          <cell r="I13">
            <v>1</v>
          </cell>
          <cell r="J13">
            <v>1.9</v>
          </cell>
          <cell r="L13">
            <v>2.5</v>
          </cell>
          <cell r="M13">
            <v>1</v>
          </cell>
          <cell r="N13">
            <v>1</v>
          </cell>
          <cell r="O13">
            <v>1.4</v>
          </cell>
          <cell r="P13">
            <v>1</v>
          </cell>
          <cell r="Q13">
            <v>1</v>
          </cell>
          <cell r="S13">
            <v>1</v>
          </cell>
          <cell r="T13">
            <v>1</v>
          </cell>
          <cell r="U13">
            <v>5</v>
          </cell>
          <cell r="V13">
            <v>1</v>
          </cell>
          <cell r="AD13">
            <v>23.8</v>
          </cell>
          <cell r="AE13">
            <v>0</v>
          </cell>
          <cell r="AF13">
            <v>1</v>
          </cell>
          <cell r="AG13">
            <v>1</v>
          </cell>
          <cell r="AH13">
            <v>1</v>
          </cell>
          <cell r="AM13">
            <v>0.32</v>
          </cell>
          <cell r="AT13">
            <v>0</v>
          </cell>
          <cell r="AV13">
            <v>0</v>
          </cell>
          <cell r="AW13">
            <v>82434.090000000011</v>
          </cell>
          <cell r="AX13">
            <v>0</v>
          </cell>
          <cell r="AY13">
            <v>0</v>
          </cell>
          <cell r="AZ13">
            <v>1</v>
          </cell>
          <cell r="BG13">
            <v>0</v>
          </cell>
          <cell r="BH13">
            <v>0</v>
          </cell>
          <cell r="BI13">
            <v>0</v>
          </cell>
          <cell r="BR13">
            <v>0</v>
          </cell>
          <cell r="BS13">
            <v>0</v>
          </cell>
          <cell r="BT13">
            <v>167765</v>
          </cell>
          <cell r="BU13">
            <v>0</v>
          </cell>
          <cell r="BV13">
            <v>1</v>
          </cell>
          <cell r="BW13">
            <v>0</v>
          </cell>
          <cell r="BX13">
            <v>0</v>
          </cell>
          <cell r="BY13">
            <v>16445</v>
          </cell>
          <cell r="BZ13">
            <v>8580</v>
          </cell>
          <cell r="CA13">
            <v>8580</v>
          </cell>
          <cell r="CB13">
            <v>19734</v>
          </cell>
          <cell r="CC13">
            <v>11440</v>
          </cell>
          <cell r="CF13">
            <v>0</v>
          </cell>
          <cell r="CG13">
            <v>0</v>
          </cell>
          <cell r="CJ13">
            <v>0</v>
          </cell>
          <cell r="CK13">
            <v>0</v>
          </cell>
          <cell r="CL13">
            <v>57200</v>
          </cell>
          <cell r="CM13">
            <v>81629</v>
          </cell>
          <cell r="CN13">
            <v>11859</v>
          </cell>
          <cell r="CO13">
            <v>0</v>
          </cell>
          <cell r="CP13">
            <v>0</v>
          </cell>
          <cell r="CQ13">
            <v>0</v>
          </cell>
          <cell r="CR13">
            <v>0</v>
          </cell>
          <cell r="CS13">
            <v>0</v>
          </cell>
          <cell r="CT13">
            <v>690480</v>
          </cell>
          <cell r="CU13">
            <v>0</v>
          </cell>
          <cell r="CV13">
            <v>34130</v>
          </cell>
          <cell r="CX13">
            <v>175</v>
          </cell>
          <cell r="CY13">
            <v>0</v>
          </cell>
          <cell r="CZ13">
            <v>0</v>
          </cell>
          <cell r="DA13">
            <v>0</v>
          </cell>
          <cell r="DB13">
            <v>0</v>
          </cell>
          <cell r="DC13">
            <v>6260801.0899999999</v>
          </cell>
          <cell r="DD13">
            <v>32614.77</v>
          </cell>
          <cell r="DE13">
            <v>245811</v>
          </cell>
          <cell r="DF13">
            <v>48.92</v>
          </cell>
          <cell r="DH13">
            <v>48.127273175978893</v>
          </cell>
          <cell r="DI13">
            <v>0.79272682402110917</v>
          </cell>
          <cell r="DJ13">
            <v>48.92</v>
          </cell>
          <cell r="DK13">
            <v>48.127273175978893</v>
          </cell>
          <cell r="DL13">
            <v>0.79272682402110917</v>
          </cell>
          <cell r="DM13">
            <v>0</v>
          </cell>
          <cell r="DN13">
            <v>0</v>
          </cell>
          <cell r="DO13">
            <v>572</v>
          </cell>
          <cell r="DP13" t="str">
            <v>N/A</v>
          </cell>
        </row>
        <row r="14">
          <cell r="A14">
            <v>291</v>
          </cell>
          <cell r="B14" t="str">
            <v>Boone</v>
          </cell>
          <cell r="C14" t="str">
            <v>ES</v>
          </cell>
          <cell r="D14">
            <v>8</v>
          </cell>
          <cell r="E14">
            <v>434</v>
          </cell>
          <cell r="F14">
            <v>0.69799999999999995</v>
          </cell>
          <cell r="G14">
            <v>303</v>
          </cell>
          <cell r="H14">
            <v>1</v>
          </cell>
          <cell r="I14">
            <v>1</v>
          </cell>
          <cell r="J14">
            <v>1.1000000000000001</v>
          </cell>
          <cell r="M14">
            <v>1</v>
          </cell>
          <cell r="N14">
            <v>1</v>
          </cell>
          <cell r="O14">
            <v>1.1000000000000001</v>
          </cell>
          <cell r="S14">
            <v>1</v>
          </cell>
          <cell r="T14">
            <v>1</v>
          </cell>
          <cell r="U14">
            <v>2</v>
          </cell>
          <cell r="V14">
            <v>1</v>
          </cell>
          <cell r="W14">
            <v>4.5</v>
          </cell>
          <cell r="Y14">
            <v>3</v>
          </cell>
          <cell r="AA14">
            <v>3</v>
          </cell>
          <cell r="AB14">
            <v>6</v>
          </cell>
          <cell r="AC14">
            <v>3</v>
          </cell>
          <cell r="AD14">
            <v>17</v>
          </cell>
          <cell r="AF14">
            <v>1</v>
          </cell>
          <cell r="AG14">
            <v>2</v>
          </cell>
          <cell r="AH14">
            <v>6</v>
          </cell>
          <cell r="AI14">
            <v>6</v>
          </cell>
          <cell r="AM14">
            <v>0.09</v>
          </cell>
          <cell r="AQ14">
            <v>5</v>
          </cell>
          <cell r="AR14">
            <v>5</v>
          </cell>
          <cell r="AS14">
            <v>1</v>
          </cell>
          <cell r="AT14">
            <v>0</v>
          </cell>
          <cell r="AV14">
            <v>40800</v>
          </cell>
          <cell r="AW14">
            <v>196790.53</v>
          </cell>
          <cell r="AX14">
            <v>0</v>
          </cell>
          <cell r="AY14">
            <v>0</v>
          </cell>
          <cell r="BG14">
            <v>0</v>
          </cell>
          <cell r="BH14">
            <v>0</v>
          </cell>
          <cell r="BI14">
            <v>0</v>
          </cell>
          <cell r="BR14">
            <v>0</v>
          </cell>
          <cell r="BS14">
            <v>0</v>
          </cell>
          <cell r="BT14">
            <v>111844</v>
          </cell>
          <cell r="BU14">
            <v>0</v>
          </cell>
          <cell r="BW14">
            <v>0</v>
          </cell>
          <cell r="BX14">
            <v>6056</v>
          </cell>
          <cell r="BY14">
            <v>2496</v>
          </cell>
          <cell r="BZ14">
            <v>2170</v>
          </cell>
          <cell r="CA14">
            <v>2170</v>
          </cell>
          <cell r="CB14">
            <v>2496</v>
          </cell>
          <cell r="CC14">
            <v>8680</v>
          </cell>
          <cell r="CF14">
            <v>0</v>
          </cell>
          <cell r="CG14">
            <v>0</v>
          </cell>
          <cell r="CJ14">
            <v>0</v>
          </cell>
          <cell r="CK14">
            <v>0</v>
          </cell>
          <cell r="CL14">
            <v>43400</v>
          </cell>
          <cell r="CM14">
            <v>92220</v>
          </cell>
          <cell r="CN14">
            <v>5804</v>
          </cell>
          <cell r="CO14">
            <v>0</v>
          </cell>
          <cell r="CP14">
            <v>0</v>
          </cell>
          <cell r="CQ14">
            <v>0</v>
          </cell>
          <cell r="CR14">
            <v>0</v>
          </cell>
          <cell r="CS14">
            <v>0</v>
          </cell>
          <cell r="CT14">
            <v>0</v>
          </cell>
          <cell r="CU14">
            <v>0</v>
          </cell>
          <cell r="CV14">
            <v>0</v>
          </cell>
          <cell r="CX14">
            <v>28600</v>
          </cell>
          <cell r="CY14">
            <v>0</v>
          </cell>
          <cell r="CZ14">
            <v>0</v>
          </cell>
          <cell r="DA14">
            <v>112569</v>
          </cell>
          <cell r="DB14">
            <v>112569</v>
          </cell>
          <cell r="DC14">
            <v>6533906.5300000003</v>
          </cell>
          <cell r="DD14">
            <v>319848.02</v>
          </cell>
          <cell r="DE14">
            <v>360476</v>
          </cell>
          <cell r="DF14">
            <v>73.790000000000006</v>
          </cell>
          <cell r="DH14">
            <v>69.88181818181819</v>
          </cell>
          <cell r="DI14">
            <v>3.9081818181818164</v>
          </cell>
          <cell r="DJ14">
            <v>62.790000000000006</v>
          </cell>
          <cell r="DK14">
            <v>62.88181818181819</v>
          </cell>
          <cell r="DL14">
            <v>-9.1818181818183575E-2</v>
          </cell>
          <cell r="DM14">
            <v>0</v>
          </cell>
          <cell r="DN14">
            <v>11</v>
          </cell>
          <cell r="DO14">
            <v>335</v>
          </cell>
          <cell r="DP14">
            <v>19.705882352941178</v>
          </cell>
        </row>
        <row r="15">
          <cell r="A15">
            <v>212</v>
          </cell>
          <cell r="B15" t="str">
            <v>Brent</v>
          </cell>
          <cell r="C15" t="str">
            <v>ES</v>
          </cell>
          <cell r="D15">
            <v>6</v>
          </cell>
          <cell r="E15">
            <v>446</v>
          </cell>
          <cell r="F15">
            <v>5.8000000000000003E-2</v>
          </cell>
          <cell r="G15">
            <v>26</v>
          </cell>
          <cell r="H15">
            <v>1</v>
          </cell>
          <cell r="I15">
            <v>1</v>
          </cell>
          <cell r="J15">
            <v>1.1000000000000001</v>
          </cell>
          <cell r="M15">
            <v>1</v>
          </cell>
          <cell r="N15">
            <v>1</v>
          </cell>
          <cell r="O15">
            <v>1.1000000000000001</v>
          </cell>
          <cell r="S15">
            <v>1</v>
          </cell>
          <cell r="T15">
            <v>1</v>
          </cell>
          <cell r="U15">
            <v>2</v>
          </cell>
          <cell r="V15">
            <v>1</v>
          </cell>
          <cell r="W15">
            <v>4.5</v>
          </cell>
          <cell r="Z15">
            <v>4</v>
          </cell>
          <cell r="AB15">
            <v>4</v>
          </cell>
          <cell r="AC15">
            <v>3</v>
          </cell>
          <cell r="AD15">
            <v>18</v>
          </cell>
          <cell r="AF15">
            <v>1</v>
          </cell>
          <cell r="AG15">
            <v>1</v>
          </cell>
          <cell r="AH15">
            <v>4</v>
          </cell>
          <cell r="AL15">
            <v>1</v>
          </cell>
          <cell r="AT15">
            <v>0</v>
          </cell>
          <cell r="AV15">
            <v>0</v>
          </cell>
          <cell r="AW15">
            <v>0</v>
          </cell>
          <cell r="AX15">
            <v>11150</v>
          </cell>
          <cell r="AY15">
            <v>0</v>
          </cell>
          <cell r="BG15">
            <v>0</v>
          </cell>
          <cell r="BH15">
            <v>0</v>
          </cell>
          <cell r="BI15">
            <v>0</v>
          </cell>
          <cell r="BR15">
            <v>0</v>
          </cell>
          <cell r="BS15">
            <v>0</v>
          </cell>
          <cell r="BT15">
            <v>55922</v>
          </cell>
          <cell r="BU15">
            <v>0</v>
          </cell>
          <cell r="BW15">
            <v>0</v>
          </cell>
          <cell r="BX15">
            <v>0</v>
          </cell>
          <cell r="BY15">
            <v>2565</v>
          </cell>
          <cell r="BZ15">
            <v>2230</v>
          </cell>
          <cell r="CA15">
            <v>2230</v>
          </cell>
          <cell r="CB15">
            <v>2565</v>
          </cell>
          <cell r="CC15">
            <v>8920</v>
          </cell>
          <cell r="CF15">
            <v>0</v>
          </cell>
          <cell r="CG15">
            <v>0</v>
          </cell>
          <cell r="CJ15">
            <v>0</v>
          </cell>
          <cell r="CK15">
            <v>0</v>
          </cell>
          <cell r="CL15">
            <v>44600</v>
          </cell>
          <cell r="CM15">
            <v>81790</v>
          </cell>
          <cell r="CN15">
            <v>5169</v>
          </cell>
          <cell r="CO15">
            <v>0</v>
          </cell>
          <cell r="CP15">
            <v>0</v>
          </cell>
          <cell r="CQ15">
            <v>0</v>
          </cell>
          <cell r="CR15">
            <v>0</v>
          </cell>
          <cell r="CS15">
            <v>0</v>
          </cell>
          <cell r="CT15">
            <v>0</v>
          </cell>
          <cell r="CU15">
            <v>0</v>
          </cell>
          <cell r="CV15">
            <v>0</v>
          </cell>
          <cell r="CX15">
            <v>2800</v>
          </cell>
          <cell r="CY15">
            <v>0</v>
          </cell>
          <cell r="CZ15">
            <v>0</v>
          </cell>
          <cell r="DA15">
            <v>0</v>
          </cell>
          <cell r="DB15">
            <v>0</v>
          </cell>
          <cell r="DC15">
            <v>5300041</v>
          </cell>
          <cell r="DD15">
            <v>47319.33</v>
          </cell>
          <cell r="DE15">
            <v>56854</v>
          </cell>
          <cell r="DF15">
            <v>51.7</v>
          </cell>
          <cell r="DH15">
            <v>51.2</v>
          </cell>
          <cell r="DI15">
            <v>0.5</v>
          </cell>
          <cell r="DJ15">
            <v>51.7</v>
          </cell>
          <cell r="DK15">
            <v>51.2</v>
          </cell>
          <cell r="DL15">
            <v>0.5</v>
          </cell>
          <cell r="DM15">
            <v>0</v>
          </cell>
          <cell r="DN15">
            <v>0</v>
          </cell>
          <cell r="DO15">
            <v>382</v>
          </cell>
          <cell r="DP15">
            <v>21.222222222222221</v>
          </cell>
        </row>
        <row r="16">
          <cell r="A16">
            <v>213</v>
          </cell>
          <cell r="B16" t="str">
            <v>Brightwood</v>
          </cell>
          <cell r="C16" t="str">
            <v>ES</v>
          </cell>
          <cell r="D16">
            <v>4</v>
          </cell>
          <cell r="E16">
            <v>568</v>
          </cell>
          <cell r="F16">
            <v>0.433</v>
          </cell>
          <cell r="G16">
            <v>246</v>
          </cell>
          <cell r="H16">
            <v>1</v>
          </cell>
          <cell r="I16">
            <v>1</v>
          </cell>
          <cell r="J16">
            <v>1.4</v>
          </cell>
          <cell r="M16">
            <v>1</v>
          </cell>
          <cell r="N16">
            <v>1</v>
          </cell>
          <cell r="O16">
            <v>1.4</v>
          </cell>
          <cell r="S16">
            <v>1</v>
          </cell>
          <cell r="T16">
            <v>1</v>
          </cell>
          <cell r="U16">
            <v>3</v>
          </cell>
          <cell r="V16">
            <v>1</v>
          </cell>
          <cell r="W16">
            <v>4.5</v>
          </cell>
          <cell r="X16">
            <v>1</v>
          </cell>
          <cell r="Y16">
            <v>3</v>
          </cell>
          <cell r="AA16">
            <v>3</v>
          </cell>
          <cell r="AB16">
            <v>6</v>
          </cell>
          <cell r="AC16">
            <v>4</v>
          </cell>
          <cell r="AD16">
            <v>23</v>
          </cell>
          <cell r="AF16">
            <v>1</v>
          </cell>
          <cell r="AG16">
            <v>2</v>
          </cell>
          <cell r="AH16">
            <v>12</v>
          </cell>
          <cell r="AI16">
            <v>6</v>
          </cell>
          <cell r="AL16">
            <v>22</v>
          </cell>
          <cell r="AN16">
            <v>1</v>
          </cell>
          <cell r="AO16">
            <v>4</v>
          </cell>
          <cell r="AQ16">
            <v>8</v>
          </cell>
          <cell r="AR16">
            <v>8</v>
          </cell>
          <cell r="AS16">
            <v>1</v>
          </cell>
          <cell r="AT16">
            <v>0</v>
          </cell>
          <cell r="AV16">
            <v>54400</v>
          </cell>
          <cell r="AW16">
            <v>180960.79</v>
          </cell>
          <cell r="AX16">
            <v>0</v>
          </cell>
          <cell r="AY16">
            <v>0</v>
          </cell>
          <cell r="BG16">
            <v>0</v>
          </cell>
          <cell r="BH16">
            <v>0</v>
          </cell>
          <cell r="BI16">
            <v>0</v>
          </cell>
          <cell r="BR16">
            <v>0</v>
          </cell>
          <cell r="BS16">
            <v>0</v>
          </cell>
          <cell r="BT16">
            <v>167765</v>
          </cell>
          <cell r="BU16">
            <v>0</v>
          </cell>
          <cell r="BW16">
            <v>0</v>
          </cell>
          <cell r="BX16">
            <v>4925</v>
          </cell>
          <cell r="BY16">
            <v>3266</v>
          </cell>
          <cell r="BZ16">
            <v>2840</v>
          </cell>
          <cell r="CA16">
            <v>2840</v>
          </cell>
          <cell r="CB16">
            <v>3266</v>
          </cell>
          <cell r="CC16">
            <v>11360</v>
          </cell>
          <cell r="CF16">
            <v>0</v>
          </cell>
          <cell r="CG16">
            <v>0</v>
          </cell>
          <cell r="CJ16">
            <v>0</v>
          </cell>
          <cell r="CK16">
            <v>0</v>
          </cell>
          <cell r="CL16">
            <v>56800</v>
          </cell>
          <cell r="CM16">
            <v>165760</v>
          </cell>
          <cell r="CN16">
            <v>4796</v>
          </cell>
          <cell r="CO16">
            <v>0</v>
          </cell>
          <cell r="CP16">
            <v>0</v>
          </cell>
          <cell r="CQ16">
            <v>0</v>
          </cell>
          <cell r="CR16">
            <v>0</v>
          </cell>
          <cell r="CS16">
            <v>0</v>
          </cell>
          <cell r="CT16">
            <v>0</v>
          </cell>
          <cell r="CU16">
            <v>0</v>
          </cell>
          <cell r="CV16">
            <v>0</v>
          </cell>
          <cell r="CX16">
            <v>49400</v>
          </cell>
          <cell r="CY16">
            <v>0</v>
          </cell>
          <cell r="CZ16">
            <v>535942</v>
          </cell>
          <cell r="DA16">
            <v>0</v>
          </cell>
          <cell r="DB16">
            <v>112569</v>
          </cell>
          <cell r="DC16">
            <v>11716913.789999999</v>
          </cell>
          <cell r="DD16">
            <v>182082.38</v>
          </cell>
          <cell r="DE16">
            <v>409900</v>
          </cell>
          <cell r="DF16">
            <v>122.3</v>
          </cell>
          <cell r="DH16">
            <v>124.7</v>
          </cell>
          <cell r="DI16">
            <v>-2.4000000000000057</v>
          </cell>
          <cell r="DJ16">
            <v>105.3</v>
          </cell>
          <cell r="DK16">
            <v>113.7</v>
          </cell>
          <cell r="DL16">
            <v>-8.4000000000000057</v>
          </cell>
          <cell r="DM16">
            <v>0</v>
          </cell>
          <cell r="DN16">
            <v>17</v>
          </cell>
          <cell r="DO16">
            <v>466</v>
          </cell>
          <cell r="DP16">
            <v>20.260869565217391</v>
          </cell>
        </row>
        <row r="17">
          <cell r="A17">
            <v>347</v>
          </cell>
          <cell r="B17" t="str">
            <v>Brookland</v>
          </cell>
          <cell r="C17" t="str">
            <v>MS</v>
          </cell>
          <cell r="D17">
            <v>5</v>
          </cell>
          <cell r="E17">
            <v>359</v>
          </cell>
          <cell r="F17">
            <v>0.52400000000000002</v>
          </cell>
          <cell r="G17">
            <v>188</v>
          </cell>
          <cell r="H17">
            <v>1</v>
          </cell>
          <cell r="I17">
            <v>1</v>
          </cell>
          <cell r="J17">
            <v>1.2</v>
          </cell>
          <cell r="K17">
            <v>1</v>
          </cell>
          <cell r="M17">
            <v>1</v>
          </cell>
          <cell r="N17">
            <v>1</v>
          </cell>
          <cell r="S17">
            <v>1</v>
          </cell>
          <cell r="T17">
            <v>1</v>
          </cell>
          <cell r="U17">
            <v>3</v>
          </cell>
          <cell r="V17">
            <v>1</v>
          </cell>
          <cell r="AD17">
            <v>16.2</v>
          </cell>
          <cell r="AF17">
            <v>1</v>
          </cell>
          <cell r="AG17">
            <v>2</v>
          </cell>
          <cell r="AH17">
            <v>9</v>
          </cell>
          <cell r="AI17">
            <v>4</v>
          </cell>
          <cell r="AL17">
            <v>2</v>
          </cell>
          <cell r="AT17">
            <v>0</v>
          </cell>
          <cell r="AV17">
            <v>0</v>
          </cell>
          <cell r="AW17">
            <v>162781.54999999999</v>
          </cell>
          <cell r="AX17">
            <v>0</v>
          </cell>
          <cell r="AY17">
            <v>0</v>
          </cell>
          <cell r="BA17">
            <v>1</v>
          </cell>
          <cell r="BG17">
            <v>0</v>
          </cell>
          <cell r="BH17">
            <v>0</v>
          </cell>
          <cell r="BI17">
            <v>0</v>
          </cell>
          <cell r="BP17">
            <v>3</v>
          </cell>
          <cell r="BR17">
            <v>23000</v>
          </cell>
          <cell r="BS17">
            <v>0</v>
          </cell>
          <cell r="BT17">
            <v>244046</v>
          </cell>
          <cell r="BU17">
            <v>100000</v>
          </cell>
          <cell r="BW17">
            <v>0</v>
          </cell>
          <cell r="BX17">
            <v>3763</v>
          </cell>
          <cell r="BY17">
            <v>3303</v>
          </cell>
          <cell r="BZ17">
            <v>3590</v>
          </cell>
          <cell r="CA17">
            <v>3590</v>
          </cell>
          <cell r="CB17">
            <v>4129</v>
          </cell>
          <cell r="CC17">
            <v>7180</v>
          </cell>
          <cell r="CF17">
            <v>0</v>
          </cell>
          <cell r="CG17">
            <v>0</v>
          </cell>
          <cell r="CJ17">
            <v>0</v>
          </cell>
          <cell r="CK17">
            <v>0</v>
          </cell>
          <cell r="CL17">
            <v>35900</v>
          </cell>
          <cell r="CM17">
            <v>84840</v>
          </cell>
          <cell r="CN17">
            <v>6573</v>
          </cell>
          <cell r="CO17">
            <v>0</v>
          </cell>
          <cell r="CP17">
            <v>0</v>
          </cell>
          <cell r="CQ17">
            <v>0</v>
          </cell>
          <cell r="CR17">
            <v>0</v>
          </cell>
          <cell r="CS17">
            <v>0</v>
          </cell>
          <cell r="CT17">
            <v>200000</v>
          </cell>
          <cell r="CU17">
            <v>0</v>
          </cell>
          <cell r="CV17">
            <v>0</v>
          </cell>
          <cell r="CX17">
            <v>39975</v>
          </cell>
          <cell r="CY17">
            <v>0</v>
          </cell>
          <cell r="CZ17">
            <v>57932</v>
          </cell>
          <cell r="DA17">
            <v>0</v>
          </cell>
          <cell r="DB17">
            <v>0</v>
          </cell>
          <cell r="DC17">
            <v>6150150.5499999998</v>
          </cell>
          <cell r="DD17">
            <v>118097.72</v>
          </cell>
          <cell r="DE17">
            <v>128046</v>
          </cell>
          <cell r="DF17">
            <v>50.4</v>
          </cell>
          <cell r="DH17">
            <v>53.5</v>
          </cell>
          <cell r="DI17">
            <v>-3.1000000000000014</v>
          </cell>
          <cell r="DJ17">
            <v>50.4</v>
          </cell>
          <cell r="DK17">
            <v>53.5</v>
          </cell>
          <cell r="DL17">
            <v>-3.1000000000000014</v>
          </cell>
          <cell r="DM17">
            <v>0</v>
          </cell>
          <cell r="DN17">
            <v>0</v>
          </cell>
          <cell r="DO17">
            <v>359</v>
          </cell>
          <cell r="DP17">
            <v>18.697916666666668</v>
          </cell>
        </row>
        <row r="18">
          <cell r="A18">
            <v>404</v>
          </cell>
          <cell r="B18" t="str">
            <v>Browne</v>
          </cell>
          <cell r="C18" t="str">
            <v>EC</v>
          </cell>
          <cell r="D18">
            <v>5</v>
          </cell>
          <cell r="E18">
            <v>436</v>
          </cell>
          <cell r="F18">
            <v>0.626</v>
          </cell>
          <cell r="G18">
            <v>273</v>
          </cell>
          <cell r="H18">
            <v>1</v>
          </cell>
          <cell r="I18">
            <v>1</v>
          </cell>
          <cell r="J18">
            <v>1.2</v>
          </cell>
          <cell r="K18">
            <v>1</v>
          </cell>
          <cell r="M18">
            <v>1</v>
          </cell>
          <cell r="N18">
            <v>1</v>
          </cell>
          <cell r="O18">
            <v>1.1000000000000001</v>
          </cell>
          <cell r="S18">
            <v>1</v>
          </cell>
          <cell r="T18">
            <v>1</v>
          </cell>
          <cell r="U18">
            <v>7</v>
          </cell>
          <cell r="V18">
            <v>1</v>
          </cell>
          <cell r="W18">
            <v>4.5</v>
          </cell>
          <cell r="X18">
            <v>0.5</v>
          </cell>
          <cell r="Z18">
            <v>2</v>
          </cell>
          <cell r="AA18">
            <v>2</v>
          </cell>
          <cell r="AB18">
            <v>4</v>
          </cell>
          <cell r="AC18">
            <v>2</v>
          </cell>
          <cell r="AD18">
            <v>17.899999999999999</v>
          </cell>
          <cell r="AF18">
            <v>1</v>
          </cell>
          <cell r="AG18">
            <v>2</v>
          </cell>
          <cell r="AH18">
            <v>10</v>
          </cell>
          <cell r="AI18">
            <v>6</v>
          </cell>
          <cell r="AL18">
            <v>4</v>
          </cell>
          <cell r="AQ18">
            <v>3</v>
          </cell>
          <cell r="AR18">
            <v>3</v>
          </cell>
          <cell r="AS18">
            <v>1</v>
          </cell>
          <cell r="AT18">
            <v>0</v>
          </cell>
          <cell r="AV18">
            <v>27200</v>
          </cell>
          <cell r="AW18">
            <v>197695.79</v>
          </cell>
          <cell r="AX18">
            <v>0</v>
          </cell>
          <cell r="AY18">
            <v>0</v>
          </cell>
          <cell r="BG18">
            <v>0</v>
          </cell>
          <cell r="BH18">
            <v>0</v>
          </cell>
          <cell r="BI18">
            <v>0</v>
          </cell>
          <cell r="BP18">
            <v>2</v>
          </cell>
          <cell r="BR18">
            <v>23000</v>
          </cell>
          <cell r="BS18">
            <v>0</v>
          </cell>
          <cell r="BT18">
            <v>167765</v>
          </cell>
          <cell r="BU18">
            <v>100000</v>
          </cell>
          <cell r="BW18">
            <v>0</v>
          </cell>
          <cell r="BX18">
            <v>5469</v>
          </cell>
          <cell r="BY18">
            <v>2956</v>
          </cell>
          <cell r="BZ18">
            <v>2830</v>
          </cell>
          <cell r="CA18">
            <v>2830</v>
          </cell>
          <cell r="CB18">
            <v>3255</v>
          </cell>
          <cell r="CC18">
            <v>8720</v>
          </cell>
          <cell r="CF18">
            <v>0</v>
          </cell>
          <cell r="CG18">
            <v>0</v>
          </cell>
          <cell r="CJ18">
            <v>0</v>
          </cell>
          <cell r="CK18">
            <v>0</v>
          </cell>
          <cell r="CL18">
            <v>43600</v>
          </cell>
          <cell r="CM18">
            <v>115028</v>
          </cell>
          <cell r="CN18">
            <v>10512</v>
          </cell>
          <cell r="CO18">
            <v>0</v>
          </cell>
          <cell r="CP18">
            <v>0</v>
          </cell>
          <cell r="CQ18">
            <v>0</v>
          </cell>
          <cell r="CR18">
            <v>0</v>
          </cell>
          <cell r="CS18">
            <v>0</v>
          </cell>
          <cell r="CT18">
            <v>0</v>
          </cell>
          <cell r="CU18">
            <v>0</v>
          </cell>
          <cell r="CV18">
            <v>0</v>
          </cell>
          <cell r="CX18">
            <v>38625</v>
          </cell>
          <cell r="CY18">
            <v>0</v>
          </cell>
          <cell r="CZ18">
            <v>0</v>
          </cell>
          <cell r="DA18">
            <v>0</v>
          </cell>
          <cell r="DB18">
            <v>112569</v>
          </cell>
          <cell r="DC18">
            <v>7930446.79</v>
          </cell>
          <cell r="DD18">
            <v>163091.60999999999</v>
          </cell>
          <cell r="DE18">
            <v>71241</v>
          </cell>
          <cell r="DF18">
            <v>82.199999999999989</v>
          </cell>
          <cell r="DH18">
            <v>82.800000000000011</v>
          </cell>
          <cell r="DI18">
            <v>-0.60000000000002274</v>
          </cell>
          <cell r="DJ18">
            <v>75.199999999999989</v>
          </cell>
          <cell r="DK18">
            <v>77.800000000000011</v>
          </cell>
          <cell r="DL18">
            <v>-2.6000000000000227</v>
          </cell>
          <cell r="DM18">
            <v>0</v>
          </cell>
          <cell r="DN18">
            <v>7</v>
          </cell>
          <cell r="DO18">
            <v>369</v>
          </cell>
          <cell r="DP18">
            <v>18.542713567839197</v>
          </cell>
        </row>
        <row r="19">
          <cell r="A19">
            <v>296</v>
          </cell>
          <cell r="B19" t="str">
            <v>Bruce-Monroe</v>
          </cell>
          <cell r="C19" t="str">
            <v>ES</v>
          </cell>
          <cell r="D19">
            <v>1</v>
          </cell>
          <cell r="E19">
            <v>485</v>
          </cell>
          <cell r="F19">
            <v>0.373</v>
          </cell>
          <cell r="G19">
            <v>181</v>
          </cell>
          <cell r="H19">
            <v>1</v>
          </cell>
          <cell r="I19">
            <v>1</v>
          </cell>
          <cell r="J19">
            <v>1.2</v>
          </cell>
          <cell r="M19">
            <v>1</v>
          </cell>
          <cell r="N19">
            <v>1</v>
          </cell>
          <cell r="O19">
            <v>1.2</v>
          </cell>
          <cell r="S19">
            <v>1</v>
          </cell>
          <cell r="T19">
            <v>1</v>
          </cell>
          <cell r="U19">
            <v>3</v>
          </cell>
          <cell r="V19">
            <v>1</v>
          </cell>
          <cell r="W19">
            <v>4.5</v>
          </cell>
          <cell r="Z19">
            <v>6</v>
          </cell>
          <cell r="AB19">
            <v>6</v>
          </cell>
          <cell r="AC19">
            <v>3</v>
          </cell>
          <cell r="AD19">
            <v>18</v>
          </cell>
          <cell r="AF19">
            <v>1</v>
          </cell>
          <cell r="AG19">
            <v>2</v>
          </cell>
          <cell r="AH19">
            <v>4</v>
          </cell>
          <cell r="AL19">
            <v>13</v>
          </cell>
          <cell r="AO19">
            <v>3</v>
          </cell>
          <cell r="AT19">
            <v>0</v>
          </cell>
          <cell r="AV19">
            <v>0</v>
          </cell>
          <cell r="AW19">
            <v>219914.80000000002</v>
          </cell>
          <cell r="AX19">
            <v>0</v>
          </cell>
          <cell r="AY19">
            <v>0</v>
          </cell>
          <cell r="BG19">
            <v>0</v>
          </cell>
          <cell r="BH19">
            <v>0</v>
          </cell>
          <cell r="BI19">
            <v>0</v>
          </cell>
          <cell r="BR19">
            <v>0</v>
          </cell>
          <cell r="BS19">
            <v>0</v>
          </cell>
          <cell r="BT19">
            <v>55922</v>
          </cell>
          <cell r="BU19">
            <v>0</v>
          </cell>
          <cell r="BW19">
            <v>0</v>
          </cell>
          <cell r="BX19">
            <v>3625</v>
          </cell>
          <cell r="BY19">
            <v>2789</v>
          </cell>
          <cell r="BZ19">
            <v>2425</v>
          </cell>
          <cell r="CA19">
            <v>2425</v>
          </cell>
          <cell r="CB19">
            <v>2789</v>
          </cell>
          <cell r="CC19">
            <v>9700</v>
          </cell>
          <cell r="CF19">
            <v>0</v>
          </cell>
          <cell r="CG19">
            <v>0</v>
          </cell>
          <cell r="CJ19">
            <v>0</v>
          </cell>
          <cell r="CK19">
            <v>0</v>
          </cell>
          <cell r="CL19">
            <v>48500</v>
          </cell>
          <cell r="CM19">
            <v>116768</v>
          </cell>
          <cell r="CN19">
            <v>7964</v>
          </cell>
          <cell r="CO19">
            <v>0</v>
          </cell>
          <cell r="CP19">
            <v>0</v>
          </cell>
          <cell r="CQ19">
            <v>0</v>
          </cell>
          <cell r="CR19">
            <v>0</v>
          </cell>
          <cell r="CS19">
            <v>0</v>
          </cell>
          <cell r="CT19">
            <v>0</v>
          </cell>
          <cell r="CU19">
            <v>0</v>
          </cell>
          <cell r="CV19">
            <v>0</v>
          </cell>
          <cell r="CX19">
            <v>14025</v>
          </cell>
          <cell r="CY19">
            <v>0</v>
          </cell>
          <cell r="CZ19">
            <v>0</v>
          </cell>
          <cell r="DA19">
            <v>112569</v>
          </cell>
          <cell r="DB19">
            <v>112569</v>
          </cell>
          <cell r="DC19">
            <v>7964614.7999999998</v>
          </cell>
          <cell r="DD19">
            <v>172190.62</v>
          </cell>
          <cell r="DE19">
            <v>37488</v>
          </cell>
          <cell r="DF19">
            <v>72.900000000000006</v>
          </cell>
          <cell r="DH19">
            <v>74.900000000000006</v>
          </cell>
          <cell r="DI19">
            <v>-2</v>
          </cell>
          <cell r="DJ19">
            <v>72.900000000000006</v>
          </cell>
          <cell r="DK19">
            <v>74.900000000000006</v>
          </cell>
          <cell r="DL19">
            <v>-2</v>
          </cell>
          <cell r="DM19">
            <v>0</v>
          </cell>
          <cell r="DN19">
            <v>0</v>
          </cell>
          <cell r="DO19">
            <v>387</v>
          </cell>
          <cell r="DP19">
            <v>21.5</v>
          </cell>
        </row>
        <row r="20">
          <cell r="A20">
            <v>219</v>
          </cell>
          <cell r="B20" t="str">
            <v>Bunker Hill</v>
          </cell>
          <cell r="C20" t="str">
            <v>ES</v>
          </cell>
          <cell r="D20">
            <v>5</v>
          </cell>
          <cell r="E20">
            <v>231</v>
          </cell>
          <cell r="F20">
            <v>0.44600000000000001</v>
          </cell>
          <cell r="G20">
            <v>103</v>
          </cell>
          <cell r="H20">
            <v>1</v>
          </cell>
          <cell r="I20">
            <v>1</v>
          </cell>
          <cell r="M20">
            <v>0.5</v>
          </cell>
          <cell r="N20">
            <v>1</v>
          </cell>
          <cell r="S20">
            <v>1</v>
          </cell>
          <cell r="T20">
            <v>1</v>
          </cell>
          <cell r="U20">
            <v>1</v>
          </cell>
          <cell r="V20">
            <v>0.5</v>
          </cell>
          <cell r="W20">
            <v>3</v>
          </cell>
          <cell r="Y20">
            <v>2</v>
          </cell>
          <cell r="AA20">
            <v>3</v>
          </cell>
          <cell r="AB20">
            <v>5</v>
          </cell>
          <cell r="AC20">
            <v>2</v>
          </cell>
          <cell r="AD20">
            <v>8</v>
          </cell>
          <cell r="AF20">
            <v>1</v>
          </cell>
          <cell r="AG20">
            <v>1</v>
          </cell>
          <cell r="AH20">
            <v>6</v>
          </cell>
          <cell r="AI20">
            <v>6</v>
          </cell>
          <cell r="AL20">
            <v>1</v>
          </cell>
          <cell r="AQ20">
            <v>3</v>
          </cell>
          <cell r="AR20">
            <v>3</v>
          </cell>
          <cell r="AS20">
            <v>1</v>
          </cell>
          <cell r="AT20">
            <v>0</v>
          </cell>
          <cell r="AV20">
            <v>27200</v>
          </cell>
          <cell r="AW20">
            <v>104743.91</v>
          </cell>
          <cell r="AX20">
            <v>0</v>
          </cell>
          <cell r="AY20">
            <v>0</v>
          </cell>
          <cell r="BG20">
            <v>0</v>
          </cell>
          <cell r="BH20">
            <v>0</v>
          </cell>
          <cell r="BI20">
            <v>0</v>
          </cell>
          <cell r="BR20">
            <v>0</v>
          </cell>
          <cell r="BS20">
            <v>0</v>
          </cell>
          <cell r="BT20">
            <v>55922</v>
          </cell>
          <cell r="BU20">
            <v>0</v>
          </cell>
          <cell r="BW20">
            <v>0</v>
          </cell>
          <cell r="BX20">
            <v>2051</v>
          </cell>
          <cell r="BY20">
            <v>1328</v>
          </cell>
          <cell r="BZ20">
            <v>1155</v>
          </cell>
          <cell r="CA20">
            <v>1155</v>
          </cell>
          <cell r="CB20">
            <v>1328</v>
          </cell>
          <cell r="CC20">
            <v>4620</v>
          </cell>
          <cell r="CF20">
            <v>0</v>
          </cell>
          <cell r="CG20">
            <v>0</v>
          </cell>
          <cell r="CJ20">
            <v>0</v>
          </cell>
          <cell r="CK20">
            <v>0</v>
          </cell>
          <cell r="CL20">
            <v>23100</v>
          </cell>
          <cell r="CM20">
            <v>63885</v>
          </cell>
          <cell r="CN20">
            <v>3779</v>
          </cell>
          <cell r="CO20">
            <v>0</v>
          </cell>
          <cell r="CP20">
            <v>0</v>
          </cell>
          <cell r="CQ20">
            <v>0</v>
          </cell>
          <cell r="CR20">
            <v>0</v>
          </cell>
          <cell r="CS20">
            <v>0</v>
          </cell>
          <cell r="CT20">
            <v>0</v>
          </cell>
          <cell r="CU20">
            <v>0</v>
          </cell>
          <cell r="CV20">
            <v>0</v>
          </cell>
          <cell r="CX20">
            <v>10450</v>
          </cell>
          <cell r="CY20">
            <v>0</v>
          </cell>
          <cell r="CZ20">
            <v>0</v>
          </cell>
          <cell r="DA20">
            <v>0</v>
          </cell>
          <cell r="DB20">
            <v>116130</v>
          </cell>
          <cell r="DC20">
            <v>4408634.91</v>
          </cell>
          <cell r="DD20">
            <v>61235.65</v>
          </cell>
          <cell r="DE20">
            <v>225138</v>
          </cell>
          <cell r="DF20">
            <v>52</v>
          </cell>
          <cell r="DH20">
            <v>50.5</v>
          </cell>
          <cell r="DI20">
            <v>1.5</v>
          </cell>
          <cell r="DJ20">
            <v>45</v>
          </cell>
          <cell r="DK20">
            <v>45.5</v>
          </cell>
          <cell r="DL20">
            <v>-0.5</v>
          </cell>
          <cell r="DM20">
            <v>0</v>
          </cell>
          <cell r="DN20">
            <v>7</v>
          </cell>
          <cell r="DO20">
            <v>158</v>
          </cell>
          <cell r="DP20">
            <v>19.75</v>
          </cell>
        </row>
        <row r="21">
          <cell r="A21">
            <v>220</v>
          </cell>
          <cell r="B21" t="str">
            <v>Burroughs</v>
          </cell>
          <cell r="C21" t="str">
            <v>ES</v>
          </cell>
          <cell r="D21">
            <v>5</v>
          </cell>
          <cell r="E21">
            <v>279</v>
          </cell>
          <cell r="F21">
            <v>0.43</v>
          </cell>
          <cell r="G21">
            <v>120</v>
          </cell>
          <cell r="H21">
            <v>1</v>
          </cell>
          <cell r="I21">
            <v>1</v>
          </cell>
          <cell r="M21">
            <v>0.5</v>
          </cell>
          <cell r="N21">
            <v>1</v>
          </cell>
          <cell r="S21">
            <v>1</v>
          </cell>
          <cell r="T21">
            <v>1</v>
          </cell>
          <cell r="U21">
            <v>1</v>
          </cell>
          <cell r="V21">
            <v>0.5</v>
          </cell>
          <cell r="W21">
            <v>3</v>
          </cell>
          <cell r="Y21">
            <v>2</v>
          </cell>
          <cell r="Z21">
            <v>1</v>
          </cell>
          <cell r="AA21">
            <v>2</v>
          </cell>
          <cell r="AB21">
            <v>5</v>
          </cell>
          <cell r="AC21">
            <v>2</v>
          </cell>
          <cell r="AD21">
            <v>12</v>
          </cell>
          <cell r="AF21">
            <v>1</v>
          </cell>
          <cell r="AG21">
            <v>1</v>
          </cell>
          <cell r="AH21">
            <v>7</v>
          </cell>
          <cell r="AI21">
            <v>6</v>
          </cell>
          <cell r="AL21">
            <v>2</v>
          </cell>
          <cell r="AQ21">
            <v>6</v>
          </cell>
          <cell r="AR21">
            <v>6</v>
          </cell>
          <cell r="AS21">
            <v>1</v>
          </cell>
          <cell r="AT21">
            <v>0</v>
          </cell>
          <cell r="AV21">
            <v>40800</v>
          </cell>
          <cell r="AW21">
            <v>126506.54000000001</v>
          </cell>
          <cell r="AX21">
            <v>0</v>
          </cell>
          <cell r="AY21">
            <v>0</v>
          </cell>
          <cell r="BG21">
            <v>0</v>
          </cell>
          <cell r="BH21">
            <v>0</v>
          </cell>
          <cell r="BI21">
            <v>0</v>
          </cell>
          <cell r="BR21">
            <v>0</v>
          </cell>
          <cell r="BS21">
            <v>0</v>
          </cell>
          <cell r="BT21">
            <v>55922</v>
          </cell>
          <cell r="BU21">
            <v>0</v>
          </cell>
          <cell r="BW21">
            <v>0</v>
          </cell>
          <cell r="BX21">
            <v>2400</v>
          </cell>
          <cell r="BY21">
            <v>1604</v>
          </cell>
          <cell r="BZ21">
            <v>1395</v>
          </cell>
          <cell r="CA21">
            <v>1395</v>
          </cell>
          <cell r="CB21">
            <v>1604</v>
          </cell>
          <cell r="CC21">
            <v>5580</v>
          </cell>
          <cell r="CF21">
            <v>0</v>
          </cell>
          <cell r="CG21">
            <v>0</v>
          </cell>
          <cell r="CJ21">
            <v>0</v>
          </cell>
          <cell r="CK21">
            <v>0</v>
          </cell>
          <cell r="CL21">
            <v>27900</v>
          </cell>
          <cell r="CM21">
            <v>72947</v>
          </cell>
          <cell r="CN21">
            <v>4443</v>
          </cell>
          <cell r="CO21">
            <v>0</v>
          </cell>
          <cell r="CP21">
            <v>0</v>
          </cell>
          <cell r="CQ21">
            <v>0</v>
          </cell>
          <cell r="CR21">
            <v>0</v>
          </cell>
          <cell r="CS21">
            <v>0</v>
          </cell>
          <cell r="CT21">
            <v>0</v>
          </cell>
          <cell r="CU21">
            <v>0</v>
          </cell>
          <cell r="CV21">
            <v>0</v>
          </cell>
          <cell r="CX21">
            <v>8550</v>
          </cell>
          <cell r="CY21">
            <v>0</v>
          </cell>
          <cell r="CZ21">
            <v>0</v>
          </cell>
          <cell r="DA21">
            <v>0</v>
          </cell>
          <cell r="DB21">
            <v>180148</v>
          </cell>
          <cell r="DC21">
            <v>5245996.54</v>
          </cell>
          <cell r="DD21">
            <v>134028.64000000001</v>
          </cell>
          <cell r="DE21">
            <v>112569</v>
          </cell>
          <cell r="DF21">
            <v>64</v>
          </cell>
          <cell r="DH21">
            <v>60.5</v>
          </cell>
          <cell r="DI21">
            <v>3.5</v>
          </cell>
          <cell r="DJ21">
            <v>51</v>
          </cell>
          <cell r="DK21">
            <v>51.5</v>
          </cell>
          <cell r="DL21">
            <v>-0.5</v>
          </cell>
          <cell r="DM21">
            <v>0</v>
          </cell>
          <cell r="DN21">
            <v>13</v>
          </cell>
          <cell r="DO21">
            <v>198</v>
          </cell>
          <cell r="DP21">
            <v>16.5</v>
          </cell>
        </row>
        <row r="22">
          <cell r="A22">
            <v>221</v>
          </cell>
          <cell r="B22" t="str">
            <v>Burrville</v>
          </cell>
          <cell r="C22" t="str">
            <v>ES</v>
          </cell>
          <cell r="D22">
            <v>7</v>
          </cell>
          <cell r="E22">
            <v>305</v>
          </cell>
          <cell r="F22">
            <v>0.66900000000000004</v>
          </cell>
          <cell r="G22">
            <v>204</v>
          </cell>
          <cell r="H22">
            <v>1</v>
          </cell>
          <cell r="I22">
            <v>1</v>
          </cell>
          <cell r="J22">
            <v>0.8</v>
          </cell>
          <cell r="M22">
            <v>1</v>
          </cell>
          <cell r="N22">
            <v>1</v>
          </cell>
          <cell r="S22">
            <v>1</v>
          </cell>
          <cell r="T22">
            <v>1</v>
          </cell>
          <cell r="U22">
            <v>2</v>
          </cell>
          <cell r="V22">
            <v>1</v>
          </cell>
          <cell r="W22">
            <v>3</v>
          </cell>
          <cell r="Y22">
            <v>2</v>
          </cell>
          <cell r="Z22">
            <v>1</v>
          </cell>
          <cell r="AA22">
            <v>3</v>
          </cell>
          <cell r="AB22">
            <v>6</v>
          </cell>
          <cell r="AC22">
            <v>2</v>
          </cell>
          <cell r="AD22">
            <v>12</v>
          </cell>
          <cell r="AF22">
            <v>1</v>
          </cell>
          <cell r="AG22">
            <v>1</v>
          </cell>
          <cell r="AH22">
            <v>3</v>
          </cell>
          <cell r="AM22">
            <v>0.14000000000000001</v>
          </cell>
          <cell r="AQ22">
            <v>4</v>
          </cell>
          <cell r="AR22">
            <v>4</v>
          </cell>
          <cell r="AS22">
            <v>1</v>
          </cell>
          <cell r="AT22">
            <v>0</v>
          </cell>
          <cell r="AV22">
            <v>27200</v>
          </cell>
          <cell r="AW22">
            <v>138297.23000000001</v>
          </cell>
          <cell r="AX22">
            <v>0</v>
          </cell>
          <cell r="AY22">
            <v>0</v>
          </cell>
          <cell r="BG22">
            <v>0</v>
          </cell>
          <cell r="BH22">
            <v>0</v>
          </cell>
          <cell r="BI22">
            <v>0</v>
          </cell>
          <cell r="BR22">
            <v>0</v>
          </cell>
          <cell r="BS22">
            <v>0</v>
          </cell>
          <cell r="BT22">
            <v>111844</v>
          </cell>
          <cell r="BU22">
            <v>0</v>
          </cell>
          <cell r="BW22">
            <v>0</v>
          </cell>
          <cell r="BX22">
            <v>4080</v>
          </cell>
          <cell r="BY22">
            <v>1754</v>
          </cell>
          <cell r="BZ22">
            <v>1525</v>
          </cell>
          <cell r="CA22">
            <v>1525</v>
          </cell>
          <cell r="CB22">
            <v>1754</v>
          </cell>
          <cell r="CC22">
            <v>6100</v>
          </cell>
          <cell r="CF22">
            <v>0</v>
          </cell>
          <cell r="CG22">
            <v>0</v>
          </cell>
          <cell r="CJ22">
            <v>0</v>
          </cell>
          <cell r="CK22">
            <v>0</v>
          </cell>
          <cell r="CL22">
            <v>30500</v>
          </cell>
          <cell r="CM22">
            <v>67395</v>
          </cell>
          <cell r="CN22">
            <v>5857</v>
          </cell>
          <cell r="CO22">
            <v>0</v>
          </cell>
          <cell r="CP22">
            <v>0</v>
          </cell>
          <cell r="CQ22">
            <v>0</v>
          </cell>
          <cell r="CR22">
            <v>0</v>
          </cell>
          <cell r="CS22">
            <v>0</v>
          </cell>
          <cell r="CT22">
            <v>0</v>
          </cell>
          <cell r="CU22">
            <v>13859</v>
          </cell>
          <cell r="CV22">
            <v>0</v>
          </cell>
          <cell r="CX22">
            <v>7425</v>
          </cell>
          <cell r="CY22">
            <v>0</v>
          </cell>
          <cell r="CZ22">
            <v>0</v>
          </cell>
          <cell r="DA22">
            <v>0</v>
          </cell>
          <cell r="DB22">
            <v>104157</v>
          </cell>
          <cell r="DC22">
            <v>4747090.2300000004</v>
          </cell>
          <cell r="DD22">
            <v>179083.55</v>
          </cell>
          <cell r="DE22">
            <v>191509</v>
          </cell>
          <cell r="DF22">
            <v>52.94</v>
          </cell>
          <cell r="DH22">
            <v>49.890909090909091</v>
          </cell>
          <cell r="DI22">
            <v>3.0490909090909071</v>
          </cell>
          <cell r="DJ22">
            <v>43.94</v>
          </cell>
          <cell r="DK22">
            <v>42.890909090909091</v>
          </cell>
          <cell r="DL22">
            <v>1.0490909090909071</v>
          </cell>
          <cell r="DM22">
            <v>0</v>
          </cell>
          <cell r="DN22">
            <v>9</v>
          </cell>
          <cell r="DO22">
            <v>220</v>
          </cell>
          <cell r="DP22">
            <v>18.333333333333332</v>
          </cell>
        </row>
        <row r="23">
          <cell r="A23">
            <v>247</v>
          </cell>
          <cell r="B23" t="str">
            <v>C.W. Harris</v>
          </cell>
          <cell r="C23" t="str">
            <v>ES</v>
          </cell>
          <cell r="D23">
            <v>7</v>
          </cell>
          <cell r="E23">
            <v>232</v>
          </cell>
          <cell r="F23">
            <v>0.79300000000000004</v>
          </cell>
          <cell r="G23">
            <v>184</v>
          </cell>
          <cell r="H23">
            <v>1</v>
          </cell>
          <cell r="I23">
            <v>1</v>
          </cell>
          <cell r="M23">
            <v>0.5</v>
          </cell>
          <cell r="N23">
            <v>1</v>
          </cell>
          <cell r="S23">
            <v>1</v>
          </cell>
          <cell r="T23">
            <v>1</v>
          </cell>
          <cell r="U23">
            <v>1</v>
          </cell>
          <cell r="V23">
            <v>0.5</v>
          </cell>
          <cell r="W23">
            <v>3</v>
          </cell>
          <cell r="Y23">
            <v>1</v>
          </cell>
          <cell r="AA23">
            <v>2</v>
          </cell>
          <cell r="AB23">
            <v>3</v>
          </cell>
          <cell r="AC23">
            <v>2</v>
          </cell>
          <cell r="AD23">
            <v>11</v>
          </cell>
          <cell r="AF23">
            <v>1</v>
          </cell>
          <cell r="AG23">
            <v>1</v>
          </cell>
          <cell r="AH23">
            <v>6</v>
          </cell>
          <cell r="AI23">
            <v>4</v>
          </cell>
          <cell r="AM23">
            <v>0.05</v>
          </cell>
          <cell r="AQ23">
            <v>4</v>
          </cell>
          <cell r="AR23">
            <v>4</v>
          </cell>
          <cell r="AS23">
            <v>1</v>
          </cell>
          <cell r="AT23">
            <v>0</v>
          </cell>
          <cell r="AV23">
            <v>27200</v>
          </cell>
          <cell r="AW23">
            <v>211848.32500000001</v>
          </cell>
          <cell r="AX23">
            <v>0</v>
          </cell>
          <cell r="AY23">
            <v>0</v>
          </cell>
          <cell r="BD23">
            <v>1</v>
          </cell>
          <cell r="BG23">
            <v>0</v>
          </cell>
          <cell r="BH23">
            <v>0</v>
          </cell>
          <cell r="BI23">
            <v>0</v>
          </cell>
          <cell r="BR23">
            <v>0</v>
          </cell>
          <cell r="BS23">
            <v>0</v>
          </cell>
          <cell r="BT23">
            <v>111844</v>
          </cell>
          <cell r="BU23">
            <v>0</v>
          </cell>
          <cell r="BW23">
            <v>0</v>
          </cell>
          <cell r="BX23">
            <v>7404</v>
          </cell>
          <cell r="BY23">
            <v>1334</v>
          </cell>
          <cell r="BZ23">
            <v>1160</v>
          </cell>
          <cell r="CA23">
            <v>1160</v>
          </cell>
          <cell r="CB23">
            <v>1334</v>
          </cell>
          <cell r="CC23">
            <v>4640</v>
          </cell>
          <cell r="CF23">
            <v>0</v>
          </cell>
          <cell r="CG23">
            <v>0</v>
          </cell>
          <cell r="CJ23">
            <v>0</v>
          </cell>
          <cell r="CK23">
            <v>0</v>
          </cell>
          <cell r="CL23">
            <v>23200</v>
          </cell>
          <cell r="CM23">
            <v>61553</v>
          </cell>
          <cell r="CN23">
            <v>4373</v>
          </cell>
          <cell r="CO23">
            <v>0</v>
          </cell>
          <cell r="CP23">
            <v>0</v>
          </cell>
          <cell r="CQ23">
            <v>0</v>
          </cell>
          <cell r="CR23">
            <v>0</v>
          </cell>
          <cell r="CS23">
            <v>0</v>
          </cell>
          <cell r="CT23">
            <v>0</v>
          </cell>
          <cell r="CU23">
            <v>13859</v>
          </cell>
          <cell r="CV23">
            <v>0</v>
          </cell>
          <cell r="CX23">
            <v>21450</v>
          </cell>
          <cell r="CY23">
            <v>0</v>
          </cell>
          <cell r="CZ23">
            <v>47495</v>
          </cell>
          <cell r="DA23">
            <v>112569</v>
          </cell>
          <cell r="DB23">
            <v>106680</v>
          </cell>
          <cell r="DC23">
            <v>4732736.3250000002</v>
          </cell>
          <cell r="DD23">
            <v>161663.60999999999</v>
          </cell>
          <cell r="DE23">
            <v>225138</v>
          </cell>
          <cell r="DF23">
            <v>51.05</v>
          </cell>
          <cell r="DH23">
            <v>45.090909090909093</v>
          </cell>
          <cell r="DI23">
            <v>5.9590909090909037</v>
          </cell>
          <cell r="DJ23">
            <v>42.05</v>
          </cell>
          <cell r="DK23">
            <v>45.090909090909093</v>
          </cell>
          <cell r="DL23">
            <v>-3.0409090909090963</v>
          </cell>
          <cell r="DM23">
            <v>0</v>
          </cell>
          <cell r="DN23">
            <v>9</v>
          </cell>
          <cell r="DO23">
            <v>188</v>
          </cell>
          <cell r="DP23">
            <v>17.09090909090909</v>
          </cell>
        </row>
        <row r="24">
          <cell r="A24">
            <v>360</v>
          </cell>
          <cell r="B24" t="str">
            <v>Capitol Hill Montessori School</v>
          </cell>
          <cell r="C24" t="str">
            <v>EC</v>
          </cell>
          <cell r="D24">
            <v>6</v>
          </cell>
          <cell r="E24">
            <v>355</v>
          </cell>
          <cell r="F24">
            <v>0.189</v>
          </cell>
          <cell r="G24">
            <v>67</v>
          </cell>
          <cell r="H24">
            <v>1</v>
          </cell>
          <cell r="I24">
            <v>1</v>
          </cell>
          <cell r="J24">
            <v>0.2</v>
          </cell>
          <cell r="K24">
            <v>1</v>
          </cell>
          <cell r="M24">
            <v>1</v>
          </cell>
          <cell r="N24">
            <v>1</v>
          </cell>
          <cell r="S24">
            <v>1</v>
          </cell>
          <cell r="T24">
            <v>1</v>
          </cell>
          <cell r="U24">
            <v>2</v>
          </cell>
          <cell r="V24">
            <v>1</v>
          </cell>
          <cell r="W24">
            <v>3</v>
          </cell>
          <cell r="Z24">
            <v>8</v>
          </cell>
          <cell r="AB24">
            <v>8</v>
          </cell>
          <cell r="AC24">
            <v>2</v>
          </cell>
          <cell r="AD24">
            <v>14.2</v>
          </cell>
          <cell r="AF24">
            <v>1</v>
          </cell>
          <cell r="AG24">
            <v>1</v>
          </cell>
          <cell r="AH24">
            <v>4</v>
          </cell>
          <cell r="AL24">
            <v>1</v>
          </cell>
          <cell r="AT24">
            <v>0</v>
          </cell>
          <cell r="AV24">
            <v>0</v>
          </cell>
          <cell r="AW24">
            <v>0</v>
          </cell>
          <cell r="AX24">
            <v>8875</v>
          </cell>
          <cell r="AY24">
            <v>0</v>
          </cell>
          <cell r="BG24">
            <v>0</v>
          </cell>
          <cell r="BH24">
            <v>0</v>
          </cell>
          <cell r="BI24">
            <v>0</v>
          </cell>
          <cell r="BP24">
            <v>2</v>
          </cell>
          <cell r="BR24">
            <v>23000</v>
          </cell>
          <cell r="BS24">
            <v>0</v>
          </cell>
          <cell r="BT24">
            <v>167765</v>
          </cell>
          <cell r="BU24">
            <v>100000</v>
          </cell>
          <cell r="BW24">
            <v>0</v>
          </cell>
          <cell r="BX24">
            <v>0</v>
          </cell>
          <cell r="BY24">
            <v>2286</v>
          </cell>
          <cell r="BZ24">
            <v>2130</v>
          </cell>
          <cell r="CA24">
            <v>2130</v>
          </cell>
          <cell r="CB24">
            <v>2450</v>
          </cell>
          <cell r="CC24">
            <v>7100</v>
          </cell>
          <cell r="CF24">
            <v>0</v>
          </cell>
          <cell r="CG24">
            <v>0</v>
          </cell>
          <cell r="CJ24">
            <v>0</v>
          </cell>
          <cell r="CK24">
            <v>0</v>
          </cell>
          <cell r="CL24">
            <v>35500</v>
          </cell>
          <cell r="CM24">
            <v>85127</v>
          </cell>
          <cell r="CN24">
            <v>4777</v>
          </cell>
          <cell r="CO24">
            <v>0</v>
          </cell>
          <cell r="CP24">
            <v>0</v>
          </cell>
          <cell r="CQ24">
            <v>0</v>
          </cell>
          <cell r="CR24">
            <v>0</v>
          </cell>
          <cell r="CS24">
            <v>0</v>
          </cell>
          <cell r="CT24">
            <v>0</v>
          </cell>
          <cell r="CU24">
            <v>0</v>
          </cell>
          <cell r="CV24">
            <v>0</v>
          </cell>
          <cell r="CX24">
            <v>8550</v>
          </cell>
          <cell r="CY24">
            <v>0</v>
          </cell>
          <cell r="CZ24">
            <v>0</v>
          </cell>
          <cell r="DA24">
            <v>0</v>
          </cell>
          <cell r="DB24">
            <v>116131</v>
          </cell>
          <cell r="DC24">
            <v>5753173</v>
          </cell>
          <cell r="DD24">
            <v>35038.51</v>
          </cell>
          <cell r="DE24">
            <v>0</v>
          </cell>
          <cell r="DF24">
            <v>54.4</v>
          </cell>
          <cell r="DH24">
            <v>52.29999999999999</v>
          </cell>
          <cell r="DI24">
            <v>2.1000000000000085</v>
          </cell>
          <cell r="DJ24">
            <v>54.4</v>
          </cell>
          <cell r="DK24">
            <v>52.29999999999999</v>
          </cell>
          <cell r="DL24">
            <v>2.1000000000000085</v>
          </cell>
          <cell r="DM24">
            <v>0</v>
          </cell>
          <cell r="DN24">
            <v>0</v>
          </cell>
          <cell r="DO24">
            <v>248</v>
          </cell>
          <cell r="DP24">
            <v>15.308641975308642</v>
          </cell>
        </row>
        <row r="25">
          <cell r="A25">
            <v>454</v>
          </cell>
          <cell r="B25" t="str">
            <v xml:space="preserve">Cardozo </v>
          </cell>
          <cell r="C25" t="str">
            <v>EC2</v>
          </cell>
          <cell r="D25">
            <v>1</v>
          </cell>
          <cell r="E25">
            <v>640</v>
          </cell>
          <cell r="F25">
            <v>0.79400000000000004</v>
          </cell>
          <cell r="G25">
            <v>508</v>
          </cell>
          <cell r="H25">
            <v>1</v>
          </cell>
          <cell r="I25">
            <v>1</v>
          </cell>
          <cell r="J25">
            <v>2.1</v>
          </cell>
          <cell r="K25">
            <v>1</v>
          </cell>
          <cell r="L25">
            <v>2</v>
          </cell>
          <cell r="M25">
            <v>1</v>
          </cell>
          <cell r="N25">
            <v>1</v>
          </cell>
          <cell r="O25">
            <v>1.6</v>
          </cell>
          <cell r="P25">
            <v>1</v>
          </cell>
          <cell r="Q25">
            <v>1</v>
          </cell>
          <cell r="S25">
            <v>1</v>
          </cell>
          <cell r="T25">
            <v>1</v>
          </cell>
          <cell r="U25">
            <v>8</v>
          </cell>
          <cell r="V25">
            <v>1</v>
          </cell>
          <cell r="AD25">
            <v>26.666666666666668</v>
          </cell>
          <cell r="AE25">
            <v>5.7333333333333307</v>
          </cell>
          <cell r="AF25">
            <v>1</v>
          </cell>
          <cell r="AG25">
            <v>5</v>
          </cell>
          <cell r="AH25">
            <v>22</v>
          </cell>
          <cell r="AI25">
            <v>13</v>
          </cell>
          <cell r="AJ25">
            <v>2</v>
          </cell>
          <cell r="AL25">
            <v>13</v>
          </cell>
          <cell r="AP25">
            <v>2</v>
          </cell>
          <cell r="AT25">
            <v>65000</v>
          </cell>
          <cell r="AV25">
            <v>0</v>
          </cell>
          <cell r="AW25">
            <v>500376.55000000005</v>
          </cell>
          <cell r="AX25">
            <v>0</v>
          </cell>
          <cell r="AY25">
            <v>0</v>
          </cell>
          <cell r="BB25">
            <v>1</v>
          </cell>
          <cell r="BF25">
            <v>1</v>
          </cell>
          <cell r="BG25">
            <v>14216</v>
          </cell>
          <cell r="BH25">
            <v>11000</v>
          </cell>
          <cell r="BI25">
            <v>32000</v>
          </cell>
          <cell r="BJ25">
            <v>2</v>
          </cell>
          <cell r="BL25">
            <v>1</v>
          </cell>
          <cell r="BO25">
            <v>1</v>
          </cell>
          <cell r="BP25">
            <v>2</v>
          </cell>
          <cell r="BR25">
            <v>23000</v>
          </cell>
          <cell r="BS25">
            <v>5000</v>
          </cell>
          <cell r="BT25">
            <v>676216</v>
          </cell>
          <cell r="BU25">
            <v>100000</v>
          </cell>
          <cell r="BV25">
            <v>1</v>
          </cell>
          <cell r="BW25">
            <v>75000</v>
          </cell>
          <cell r="BX25">
            <v>20358</v>
          </cell>
          <cell r="BY25">
            <v>14138</v>
          </cell>
          <cell r="BZ25">
            <v>8510</v>
          </cell>
          <cell r="CA25">
            <v>8510</v>
          </cell>
          <cell r="CB25">
            <v>17066</v>
          </cell>
          <cell r="CC25">
            <v>12800</v>
          </cell>
          <cell r="CD25">
            <v>1</v>
          </cell>
          <cell r="CF25">
            <v>0</v>
          </cell>
          <cell r="CG25">
            <v>0</v>
          </cell>
          <cell r="CJ25">
            <v>5000</v>
          </cell>
          <cell r="CK25">
            <v>113946</v>
          </cell>
          <cell r="CL25">
            <v>64000</v>
          </cell>
          <cell r="CM25">
            <v>192687</v>
          </cell>
          <cell r="CN25">
            <v>17336</v>
          </cell>
          <cell r="CO25">
            <v>0</v>
          </cell>
          <cell r="CP25">
            <v>0</v>
          </cell>
          <cell r="CQ25">
            <v>0</v>
          </cell>
          <cell r="CR25">
            <v>0</v>
          </cell>
          <cell r="CS25">
            <v>0</v>
          </cell>
          <cell r="CT25">
            <v>0</v>
          </cell>
          <cell r="CU25">
            <v>0</v>
          </cell>
          <cell r="CV25">
            <v>0</v>
          </cell>
          <cell r="CX25">
            <v>58125</v>
          </cell>
          <cell r="CY25">
            <v>0</v>
          </cell>
          <cell r="CZ25">
            <v>1207628</v>
          </cell>
          <cell r="DA25">
            <v>0</v>
          </cell>
          <cell r="DB25">
            <v>225137</v>
          </cell>
          <cell r="DC25">
            <v>15861335.550000001</v>
          </cell>
          <cell r="DD25">
            <v>261511.39</v>
          </cell>
          <cell r="DE25">
            <v>426169</v>
          </cell>
          <cell r="DF25">
            <v>124.1</v>
          </cell>
          <cell r="DH25">
            <v>140.90115970478135</v>
          </cell>
          <cell r="DI25">
            <v>-16.801159704781355</v>
          </cell>
          <cell r="DJ25">
            <v>124.1</v>
          </cell>
          <cell r="DK25">
            <v>140.90115970478135</v>
          </cell>
          <cell r="DL25">
            <v>-16.801159704781355</v>
          </cell>
          <cell r="DM25">
            <v>0</v>
          </cell>
          <cell r="DN25">
            <v>0</v>
          </cell>
          <cell r="DO25">
            <v>640</v>
          </cell>
          <cell r="DP25">
            <v>19.753086419753089</v>
          </cell>
        </row>
        <row r="26">
          <cell r="A26">
            <v>224</v>
          </cell>
          <cell r="B26" t="str">
            <v xml:space="preserve">Cleveland </v>
          </cell>
          <cell r="C26" t="str">
            <v>ES</v>
          </cell>
          <cell r="D26">
            <v>1</v>
          </cell>
          <cell r="E26">
            <v>300</v>
          </cell>
          <cell r="F26">
            <v>0.437</v>
          </cell>
          <cell r="G26">
            <v>131</v>
          </cell>
          <cell r="H26">
            <v>1</v>
          </cell>
          <cell r="I26">
            <v>1</v>
          </cell>
          <cell r="J26">
            <v>0.8</v>
          </cell>
          <cell r="M26">
            <v>1</v>
          </cell>
          <cell r="N26">
            <v>1</v>
          </cell>
          <cell r="S26">
            <v>1</v>
          </cell>
          <cell r="T26">
            <v>1</v>
          </cell>
          <cell r="U26">
            <v>2</v>
          </cell>
          <cell r="V26">
            <v>1</v>
          </cell>
          <cell r="W26">
            <v>3</v>
          </cell>
          <cell r="X26">
            <v>1.5</v>
          </cell>
          <cell r="Y26">
            <v>2</v>
          </cell>
          <cell r="Z26">
            <v>1</v>
          </cell>
          <cell r="AA26">
            <v>2</v>
          </cell>
          <cell r="AB26">
            <v>5</v>
          </cell>
          <cell r="AC26">
            <v>2</v>
          </cell>
          <cell r="AD26">
            <v>12</v>
          </cell>
          <cell r="AF26">
            <v>1</v>
          </cell>
          <cell r="AG26">
            <v>1</v>
          </cell>
          <cell r="AH26">
            <v>4</v>
          </cell>
          <cell r="AL26">
            <v>3</v>
          </cell>
          <cell r="AQ26">
            <v>6</v>
          </cell>
          <cell r="AR26">
            <v>6</v>
          </cell>
          <cell r="AS26">
            <v>1</v>
          </cell>
          <cell r="AT26">
            <v>0</v>
          </cell>
          <cell r="AV26">
            <v>40800</v>
          </cell>
          <cell r="AW26">
            <v>136027.87</v>
          </cell>
          <cell r="AX26">
            <v>0</v>
          </cell>
          <cell r="AY26">
            <v>0</v>
          </cell>
          <cell r="BG26">
            <v>0</v>
          </cell>
          <cell r="BH26">
            <v>0</v>
          </cell>
          <cell r="BI26">
            <v>0</v>
          </cell>
          <cell r="BR26">
            <v>0</v>
          </cell>
          <cell r="BS26">
            <v>0</v>
          </cell>
          <cell r="BT26">
            <v>55922</v>
          </cell>
          <cell r="BU26">
            <v>0</v>
          </cell>
          <cell r="BW26">
            <v>0</v>
          </cell>
          <cell r="BX26">
            <v>2611</v>
          </cell>
          <cell r="BY26">
            <v>1725</v>
          </cell>
          <cell r="BZ26">
            <v>1500</v>
          </cell>
          <cell r="CA26">
            <v>1500</v>
          </cell>
          <cell r="CB26">
            <v>1725</v>
          </cell>
          <cell r="CC26">
            <v>6000</v>
          </cell>
          <cell r="CF26">
            <v>0</v>
          </cell>
          <cell r="CG26">
            <v>0</v>
          </cell>
          <cell r="CJ26">
            <v>0</v>
          </cell>
          <cell r="CK26">
            <v>0</v>
          </cell>
          <cell r="CL26">
            <v>30000</v>
          </cell>
          <cell r="CM26">
            <v>74700</v>
          </cell>
          <cell r="CN26">
            <v>4806</v>
          </cell>
          <cell r="CO26">
            <v>0</v>
          </cell>
          <cell r="CP26">
            <v>0</v>
          </cell>
          <cell r="CQ26">
            <v>0</v>
          </cell>
          <cell r="CR26">
            <v>0</v>
          </cell>
          <cell r="CS26">
            <v>0</v>
          </cell>
          <cell r="CT26">
            <v>0</v>
          </cell>
          <cell r="CU26">
            <v>0</v>
          </cell>
          <cell r="CV26">
            <v>0</v>
          </cell>
          <cell r="CX26">
            <v>14575</v>
          </cell>
          <cell r="CY26">
            <v>0</v>
          </cell>
          <cell r="CZ26">
            <v>208304</v>
          </cell>
          <cell r="DA26">
            <v>0</v>
          </cell>
          <cell r="DB26">
            <v>56285</v>
          </cell>
          <cell r="DC26">
            <v>5327211.87</v>
          </cell>
          <cell r="DD26">
            <v>92286.02</v>
          </cell>
          <cell r="DE26">
            <v>225138</v>
          </cell>
          <cell r="DF26">
            <v>60.3</v>
          </cell>
          <cell r="DH26">
            <v>69.8</v>
          </cell>
          <cell r="DI26">
            <v>-9.5</v>
          </cell>
          <cell r="DJ26">
            <v>47.3</v>
          </cell>
          <cell r="DK26">
            <v>60.8</v>
          </cell>
          <cell r="DL26">
            <v>-13.5</v>
          </cell>
          <cell r="DM26">
            <v>0</v>
          </cell>
          <cell r="DN26">
            <v>13</v>
          </cell>
          <cell r="DO26">
            <v>225</v>
          </cell>
          <cell r="DP26">
            <v>18.75</v>
          </cell>
        </row>
        <row r="27">
          <cell r="A27">
            <v>442</v>
          </cell>
          <cell r="B27" t="str">
            <v>Columbia Heights</v>
          </cell>
          <cell r="C27" t="str">
            <v>EC2</v>
          </cell>
          <cell r="D27">
            <v>1</v>
          </cell>
          <cell r="E27">
            <v>1500</v>
          </cell>
          <cell r="F27">
            <v>0.56399999999999995</v>
          </cell>
          <cell r="G27">
            <v>846</v>
          </cell>
          <cell r="H27">
            <v>1</v>
          </cell>
          <cell r="I27">
            <v>1</v>
          </cell>
          <cell r="J27">
            <v>5</v>
          </cell>
          <cell r="K27">
            <v>1.3</v>
          </cell>
          <cell r="L27">
            <v>4</v>
          </cell>
          <cell r="M27">
            <v>1</v>
          </cell>
          <cell r="N27">
            <v>1</v>
          </cell>
          <cell r="O27">
            <v>3.8</v>
          </cell>
          <cell r="P27">
            <v>1</v>
          </cell>
          <cell r="Q27">
            <v>1</v>
          </cell>
          <cell r="S27">
            <v>1</v>
          </cell>
          <cell r="T27">
            <v>1</v>
          </cell>
          <cell r="U27">
            <v>10</v>
          </cell>
          <cell r="V27">
            <v>1</v>
          </cell>
          <cell r="AD27">
            <v>62.5</v>
          </cell>
          <cell r="AE27">
            <v>1.9000000000000057</v>
          </cell>
          <cell r="AF27">
            <v>3</v>
          </cell>
          <cell r="AG27">
            <v>5</v>
          </cell>
          <cell r="AH27">
            <v>23</v>
          </cell>
          <cell r="AI27">
            <v>1</v>
          </cell>
          <cell r="AL27">
            <v>27</v>
          </cell>
          <cell r="AN27">
            <v>2</v>
          </cell>
          <cell r="AP27">
            <v>5</v>
          </cell>
          <cell r="AT27">
            <v>80000</v>
          </cell>
          <cell r="AV27">
            <v>0</v>
          </cell>
          <cell r="AW27">
            <v>520889.36</v>
          </cell>
          <cell r="AX27">
            <v>0</v>
          </cell>
          <cell r="AY27">
            <v>18706</v>
          </cell>
          <cell r="BG27">
            <v>0</v>
          </cell>
          <cell r="BH27">
            <v>0</v>
          </cell>
          <cell r="BI27">
            <v>43000</v>
          </cell>
          <cell r="BJ27">
            <v>2</v>
          </cell>
          <cell r="BL27">
            <v>2</v>
          </cell>
          <cell r="BP27">
            <v>3</v>
          </cell>
          <cell r="BR27">
            <v>23000</v>
          </cell>
          <cell r="BS27">
            <v>5000</v>
          </cell>
          <cell r="BT27">
            <v>676216</v>
          </cell>
          <cell r="BU27">
            <v>100000</v>
          </cell>
          <cell r="BV27">
            <v>1</v>
          </cell>
          <cell r="BW27">
            <v>0</v>
          </cell>
          <cell r="BX27">
            <v>16927</v>
          </cell>
          <cell r="BY27">
            <v>33018</v>
          </cell>
          <cell r="BZ27">
            <v>19915</v>
          </cell>
          <cell r="CA27">
            <v>19915</v>
          </cell>
          <cell r="CB27">
            <v>39859</v>
          </cell>
          <cell r="CC27">
            <v>30000</v>
          </cell>
          <cell r="CD27">
            <v>1</v>
          </cell>
          <cell r="CF27">
            <v>0</v>
          </cell>
          <cell r="CG27">
            <v>0</v>
          </cell>
          <cell r="CJ27">
            <v>0</v>
          </cell>
          <cell r="CK27">
            <v>0</v>
          </cell>
          <cell r="CL27">
            <v>150000</v>
          </cell>
          <cell r="CM27">
            <v>292687</v>
          </cell>
          <cell r="CN27">
            <v>27976</v>
          </cell>
          <cell r="CO27">
            <v>0</v>
          </cell>
          <cell r="CP27">
            <v>0</v>
          </cell>
          <cell r="CQ27">
            <v>0</v>
          </cell>
          <cell r="CR27">
            <v>0</v>
          </cell>
          <cell r="CS27">
            <v>0</v>
          </cell>
          <cell r="CT27">
            <v>360000</v>
          </cell>
          <cell r="CU27">
            <v>0</v>
          </cell>
          <cell r="CV27">
            <v>0</v>
          </cell>
          <cell r="CX27">
            <v>67275</v>
          </cell>
          <cell r="CY27">
            <v>0</v>
          </cell>
          <cell r="CZ27">
            <v>0</v>
          </cell>
          <cell r="DA27">
            <v>0</v>
          </cell>
          <cell r="DB27">
            <v>225138</v>
          </cell>
          <cell r="DC27">
            <v>21342567.359999999</v>
          </cell>
          <cell r="DD27">
            <v>569787.63</v>
          </cell>
          <cell r="DE27">
            <v>225138</v>
          </cell>
          <cell r="DF27">
            <v>172.5</v>
          </cell>
          <cell r="DH27">
            <v>174.75033490338049</v>
          </cell>
          <cell r="DI27">
            <v>-2.2503349033804909</v>
          </cell>
          <cell r="DJ27">
            <v>172.5</v>
          </cell>
          <cell r="DK27">
            <v>174.75033490338049</v>
          </cell>
          <cell r="DL27">
            <v>-2.2503349033804909</v>
          </cell>
          <cell r="DM27">
            <v>0</v>
          </cell>
          <cell r="DN27">
            <v>0</v>
          </cell>
          <cell r="DO27">
            <v>1500</v>
          </cell>
          <cell r="DP27">
            <v>24</v>
          </cell>
        </row>
        <row r="28">
          <cell r="A28">
            <v>455</v>
          </cell>
          <cell r="B28" t="str">
            <v>Coolidge</v>
          </cell>
          <cell r="C28" t="str">
            <v>HS</v>
          </cell>
          <cell r="D28">
            <v>4</v>
          </cell>
          <cell r="E28">
            <v>696</v>
          </cell>
          <cell r="F28">
            <v>0.55600000000000005</v>
          </cell>
          <cell r="G28">
            <v>387</v>
          </cell>
          <cell r="H28">
            <v>1</v>
          </cell>
          <cell r="I28">
            <v>1</v>
          </cell>
          <cell r="J28">
            <v>2.2999999999999998</v>
          </cell>
          <cell r="L28">
            <v>3</v>
          </cell>
          <cell r="M28">
            <v>1</v>
          </cell>
          <cell r="N28">
            <v>1</v>
          </cell>
          <cell r="O28">
            <v>1.7</v>
          </cell>
          <cell r="P28">
            <v>1</v>
          </cell>
          <cell r="Q28">
            <v>1</v>
          </cell>
          <cell r="S28">
            <v>1</v>
          </cell>
          <cell r="T28">
            <v>1</v>
          </cell>
          <cell r="U28">
            <v>8</v>
          </cell>
          <cell r="V28">
            <v>1</v>
          </cell>
          <cell r="AD28">
            <v>29</v>
          </cell>
          <cell r="AE28">
            <v>8.6199999999999974</v>
          </cell>
          <cell r="AF28">
            <v>1</v>
          </cell>
          <cell r="AG28">
            <v>3</v>
          </cell>
          <cell r="AH28">
            <v>13</v>
          </cell>
          <cell r="AI28">
            <v>5</v>
          </cell>
          <cell r="AJ28">
            <v>1</v>
          </cell>
          <cell r="AL28">
            <v>7</v>
          </cell>
          <cell r="AN28">
            <v>1</v>
          </cell>
          <cell r="AP28">
            <v>1</v>
          </cell>
          <cell r="AT28">
            <v>60000</v>
          </cell>
          <cell r="AV28">
            <v>0</v>
          </cell>
          <cell r="AW28">
            <v>522767.91000000003</v>
          </cell>
          <cell r="AX28">
            <v>0</v>
          </cell>
          <cell r="AY28">
            <v>24641</v>
          </cell>
          <cell r="BF28">
            <v>1</v>
          </cell>
          <cell r="BG28">
            <v>8416</v>
          </cell>
          <cell r="BH28">
            <v>16800</v>
          </cell>
          <cell r="BI28">
            <v>29000</v>
          </cell>
          <cell r="BJ28">
            <v>2</v>
          </cell>
          <cell r="BL28">
            <v>2</v>
          </cell>
          <cell r="BM28">
            <v>1</v>
          </cell>
          <cell r="BR28">
            <v>0</v>
          </cell>
          <cell r="BS28">
            <v>0</v>
          </cell>
          <cell r="BT28">
            <v>376248</v>
          </cell>
          <cell r="BU28">
            <v>0</v>
          </cell>
          <cell r="BV28">
            <v>1</v>
          </cell>
          <cell r="BW28">
            <v>75000</v>
          </cell>
          <cell r="BX28">
            <v>7745</v>
          </cell>
          <cell r="BY28">
            <v>20010</v>
          </cell>
          <cell r="BZ28">
            <v>10440</v>
          </cell>
          <cell r="CA28">
            <v>10440</v>
          </cell>
          <cell r="CB28">
            <v>24012</v>
          </cell>
          <cell r="CC28">
            <v>13920</v>
          </cell>
          <cell r="CD28">
            <v>1</v>
          </cell>
          <cell r="CF28">
            <v>0</v>
          </cell>
          <cell r="CG28">
            <v>0</v>
          </cell>
          <cell r="CI28">
            <v>1</v>
          </cell>
          <cell r="CJ28">
            <v>0</v>
          </cell>
          <cell r="CK28">
            <v>0</v>
          </cell>
          <cell r="CL28">
            <v>69600</v>
          </cell>
          <cell r="CM28">
            <v>155440</v>
          </cell>
          <cell r="CN28">
            <v>25319</v>
          </cell>
          <cell r="CO28">
            <v>0</v>
          </cell>
          <cell r="CP28">
            <v>0</v>
          </cell>
          <cell r="CQ28">
            <v>0</v>
          </cell>
          <cell r="CR28">
            <v>0</v>
          </cell>
          <cell r="CS28">
            <v>0</v>
          </cell>
          <cell r="CT28">
            <v>832710</v>
          </cell>
          <cell r="CU28">
            <v>0</v>
          </cell>
          <cell r="CV28">
            <v>0</v>
          </cell>
          <cell r="CX28">
            <v>12100</v>
          </cell>
          <cell r="CY28">
            <v>0</v>
          </cell>
          <cell r="CZ28">
            <v>0</v>
          </cell>
          <cell r="DA28">
            <v>0</v>
          </cell>
          <cell r="DB28">
            <v>0</v>
          </cell>
          <cell r="DC28">
            <v>12880664.91</v>
          </cell>
          <cell r="DD28">
            <v>270050.21000000002</v>
          </cell>
          <cell r="DE28">
            <v>0</v>
          </cell>
          <cell r="DF28">
            <v>102.62</v>
          </cell>
          <cell r="DH28">
            <v>95.547540938654464</v>
          </cell>
          <cell r="DI28">
            <v>7.0724590613455405</v>
          </cell>
          <cell r="DJ28">
            <v>102.62</v>
          </cell>
          <cell r="DK28">
            <v>95.547540938654464</v>
          </cell>
          <cell r="DL28">
            <v>7.0724590613455405</v>
          </cell>
          <cell r="DM28">
            <v>0</v>
          </cell>
          <cell r="DN28">
            <v>0</v>
          </cell>
          <cell r="DO28">
            <v>696</v>
          </cell>
          <cell r="DP28">
            <v>18.500797448165869</v>
          </cell>
        </row>
        <row r="29">
          <cell r="A29">
            <v>405</v>
          </cell>
          <cell r="B29" t="str">
            <v>Deal</v>
          </cell>
          <cell r="C29" t="str">
            <v>MS</v>
          </cell>
          <cell r="D29">
            <v>3</v>
          </cell>
          <cell r="E29">
            <v>1466</v>
          </cell>
          <cell r="F29">
            <v>0.111</v>
          </cell>
          <cell r="G29">
            <v>163</v>
          </cell>
          <cell r="H29">
            <v>1</v>
          </cell>
          <cell r="I29">
            <v>1</v>
          </cell>
          <cell r="J29">
            <v>4.9000000000000004</v>
          </cell>
          <cell r="K29">
            <v>3.7</v>
          </cell>
          <cell r="M29">
            <v>1</v>
          </cell>
          <cell r="N29">
            <v>1</v>
          </cell>
          <cell r="O29">
            <v>3.7</v>
          </cell>
          <cell r="S29">
            <v>1</v>
          </cell>
          <cell r="T29">
            <v>1</v>
          </cell>
          <cell r="U29">
            <v>7</v>
          </cell>
          <cell r="V29">
            <v>1</v>
          </cell>
          <cell r="AD29">
            <v>66.599999999999994</v>
          </cell>
          <cell r="AF29">
            <v>2</v>
          </cell>
          <cell r="AG29">
            <v>3</v>
          </cell>
          <cell r="AH29">
            <v>17</v>
          </cell>
          <cell r="AI29">
            <v>3</v>
          </cell>
          <cell r="AL29">
            <v>6</v>
          </cell>
          <cell r="AO29">
            <v>1</v>
          </cell>
          <cell r="AT29">
            <v>0</v>
          </cell>
          <cell r="AV29">
            <v>0</v>
          </cell>
          <cell r="AW29">
            <v>0</v>
          </cell>
          <cell r="AX29">
            <v>36650</v>
          </cell>
          <cell r="AY29">
            <v>0</v>
          </cell>
          <cell r="AZ29">
            <v>1</v>
          </cell>
          <cell r="BG29">
            <v>0</v>
          </cell>
          <cell r="BH29">
            <v>0</v>
          </cell>
          <cell r="BI29">
            <v>0</v>
          </cell>
          <cell r="BP29">
            <v>3</v>
          </cell>
          <cell r="BR29">
            <v>23000</v>
          </cell>
          <cell r="BS29">
            <v>0</v>
          </cell>
          <cell r="BT29">
            <v>391452</v>
          </cell>
          <cell r="BU29">
            <v>100000</v>
          </cell>
          <cell r="BW29">
            <v>0</v>
          </cell>
          <cell r="BX29">
            <v>0</v>
          </cell>
          <cell r="BY29">
            <v>13487</v>
          </cell>
          <cell r="BZ29">
            <v>14660</v>
          </cell>
          <cell r="CA29">
            <v>14660</v>
          </cell>
          <cell r="CB29">
            <v>16859</v>
          </cell>
          <cell r="CC29">
            <v>29320</v>
          </cell>
          <cell r="CF29">
            <v>0</v>
          </cell>
          <cell r="CG29">
            <v>0</v>
          </cell>
          <cell r="CJ29">
            <v>0</v>
          </cell>
          <cell r="CK29">
            <v>0</v>
          </cell>
          <cell r="CL29">
            <v>146600</v>
          </cell>
          <cell r="CM29">
            <v>223330</v>
          </cell>
          <cell r="CN29">
            <v>10330</v>
          </cell>
          <cell r="CO29">
            <v>0</v>
          </cell>
          <cell r="CP29">
            <v>0</v>
          </cell>
          <cell r="CQ29">
            <v>0</v>
          </cell>
          <cell r="CR29">
            <v>0</v>
          </cell>
          <cell r="CS29">
            <v>471160</v>
          </cell>
          <cell r="CT29">
            <v>0</v>
          </cell>
          <cell r="CU29">
            <v>0</v>
          </cell>
          <cell r="CV29">
            <v>15087</v>
          </cell>
          <cell r="CX29">
            <v>32175</v>
          </cell>
          <cell r="CY29">
            <v>0</v>
          </cell>
          <cell r="CZ29">
            <v>170905</v>
          </cell>
          <cell r="DA29">
            <v>337707</v>
          </cell>
          <cell r="DB29">
            <v>284671</v>
          </cell>
          <cell r="DC29">
            <v>16103480</v>
          </cell>
          <cell r="DD29">
            <v>191587.37</v>
          </cell>
          <cell r="DE29">
            <v>369037</v>
          </cell>
          <cell r="DF29">
            <v>128.89999999999998</v>
          </cell>
          <cell r="DH29">
            <v>130.69999999999999</v>
          </cell>
          <cell r="DI29">
            <v>-1.8000000000000114</v>
          </cell>
          <cell r="DJ29">
            <v>128.89999999999998</v>
          </cell>
          <cell r="DK29">
            <v>130.69999999999999</v>
          </cell>
          <cell r="DL29">
            <v>-1.8000000000000114</v>
          </cell>
          <cell r="DM29">
            <v>0</v>
          </cell>
          <cell r="DN29">
            <v>0</v>
          </cell>
          <cell r="DO29">
            <v>1466</v>
          </cell>
          <cell r="DP29">
            <v>21.0632183908046</v>
          </cell>
        </row>
        <row r="30">
          <cell r="A30">
            <v>349</v>
          </cell>
          <cell r="B30" t="str">
            <v>Dorothy Height</v>
          </cell>
          <cell r="C30" t="str">
            <v>ES</v>
          </cell>
          <cell r="D30">
            <v>4</v>
          </cell>
          <cell r="E30">
            <v>452</v>
          </cell>
          <cell r="F30">
            <v>0.40699999999999997</v>
          </cell>
          <cell r="G30">
            <v>184</v>
          </cell>
          <cell r="H30">
            <v>1</v>
          </cell>
          <cell r="I30">
            <v>1</v>
          </cell>
          <cell r="J30">
            <v>1.1000000000000001</v>
          </cell>
          <cell r="M30">
            <v>1</v>
          </cell>
          <cell r="N30">
            <v>1</v>
          </cell>
          <cell r="O30">
            <v>1.1000000000000001</v>
          </cell>
          <cell r="S30">
            <v>1</v>
          </cell>
          <cell r="T30">
            <v>1</v>
          </cell>
          <cell r="U30">
            <v>2</v>
          </cell>
          <cell r="V30">
            <v>1</v>
          </cell>
          <cell r="W30">
            <v>4.5</v>
          </cell>
          <cell r="Y30">
            <v>5</v>
          </cell>
          <cell r="AA30">
            <v>5</v>
          </cell>
          <cell r="AB30">
            <v>9</v>
          </cell>
          <cell r="AC30">
            <v>3</v>
          </cell>
          <cell r="AD30">
            <v>17</v>
          </cell>
          <cell r="AF30">
            <v>1</v>
          </cell>
          <cell r="AG30">
            <v>2</v>
          </cell>
          <cell r="AH30">
            <v>7</v>
          </cell>
          <cell r="AI30">
            <v>6</v>
          </cell>
          <cell r="AL30">
            <v>11</v>
          </cell>
          <cell r="AO30">
            <v>2</v>
          </cell>
          <cell r="AT30">
            <v>0</v>
          </cell>
          <cell r="AV30">
            <v>0</v>
          </cell>
          <cell r="AW30">
            <v>204953.19</v>
          </cell>
          <cell r="AX30">
            <v>0</v>
          </cell>
          <cell r="AY30">
            <v>0</v>
          </cell>
          <cell r="BG30">
            <v>0</v>
          </cell>
          <cell r="BH30">
            <v>0</v>
          </cell>
          <cell r="BI30">
            <v>0</v>
          </cell>
          <cell r="BR30">
            <v>0</v>
          </cell>
          <cell r="BS30">
            <v>0</v>
          </cell>
          <cell r="BT30">
            <v>111844</v>
          </cell>
          <cell r="BU30">
            <v>0</v>
          </cell>
          <cell r="BW30">
            <v>0</v>
          </cell>
          <cell r="BX30">
            <v>3673</v>
          </cell>
          <cell r="BY30">
            <v>2599</v>
          </cell>
          <cell r="BZ30">
            <v>2260</v>
          </cell>
          <cell r="CA30">
            <v>2260</v>
          </cell>
          <cell r="CB30">
            <v>2599</v>
          </cell>
          <cell r="CC30">
            <v>9040</v>
          </cell>
          <cell r="CF30">
            <v>0</v>
          </cell>
          <cell r="CG30">
            <v>0</v>
          </cell>
          <cell r="CJ30">
            <v>0</v>
          </cell>
          <cell r="CK30">
            <v>0</v>
          </cell>
          <cell r="CL30">
            <v>45200</v>
          </cell>
          <cell r="CM30">
            <v>124676</v>
          </cell>
          <cell r="CN30">
            <v>4271</v>
          </cell>
          <cell r="CO30">
            <v>0</v>
          </cell>
          <cell r="CP30">
            <v>0</v>
          </cell>
          <cell r="CQ30">
            <v>0</v>
          </cell>
          <cell r="CR30">
            <v>0</v>
          </cell>
          <cell r="CS30">
            <v>0</v>
          </cell>
          <cell r="CT30">
            <v>0</v>
          </cell>
          <cell r="CU30">
            <v>0</v>
          </cell>
          <cell r="CV30">
            <v>0</v>
          </cell>
          <cell r="CX30">
            <v>15400</v>
          </cell>
          <cell r="CY30">
            <v>0</v>
          </cell>
          <cell r="CZ30">
            <v>45581</v>
          </cell>
          <cell r="DA30">
            <v>0</v>
          </cell>
          <cell r="DB30">
            <v>262626</v>
          </cell>
          <cell r="DC30">
            <v>8693399.1900000013</v>
          </cell>
          <cell r="DD30">
            <v>186366.74</v>
          </cell>
          <cell r="DE30">
            <v>105424</v>
          </cell>
          <cell r="DF30">
            <v>83.7</v>
          </cell>
          <cell r="DH30">
            <v>85.4</v>
          </cell>
          <cell r="DI30">
            <v>-1.7000000000000028</v>
          </cell>
          <cell r="DJ30">
            <v>83.7</v>
          </cell>
          <cell r="DK30">
            <v>85.4</v>
          </cell>
          <cell r="DL30">
            <v>-1.7000000000000028</v>
          </cell>
          <cell r="DM30">
            <v>0</v>
          </cell>
          <cell r="DN30">
            <v>0</v>
          </cell>
          <cell r="DO30">
            <v>325</v>
          </cell>
          <cell r="DP30">
            <v>19.117647058823529</v>
          </cell>
        </row>
        <row r="31">
          <cell r="A31">
            <v>231</v>
          </cell>
          <cell r="B31" t="str">
            <v>Drew</v>
          </cell>
          <cell r="C31" t="str">
            <v>ES</v>
          </cell>
          <cell r="D31">
            <v>7</v>
          </cell>
          <cell r="E31">
            <v>223</v>
          </cell>
          <cell r="F31">
            <v>0.74</v>
          </cell>
          <cell r="G31">
            <v>165</v>
          </cell>
          <cell r="H31">
            <v>1</v>
          </cell>
          <cell r="I31">
            <v>1</v>
          </cell>
          <cell r="M31">
            <v>0.5</v>
          </cell>
          <cell r="N31">
            <v>1</v>
          </cell>
          <cell r="S31">
            <v>1</v>
          </cell>
          <cell r="T31">
            <v>1</v>
          </cell>
          <cell r="U31">
            <v>1</v>
          </cell>
          <cell r="V31">
            <v>0.5</v>
          </cell>
          <cell r="W31">
            <v>3</v>
          </cell>
          <cell r="Y31">
            <v>1</v>
          </cell>
          <cell r="Z31">
            <v>1</v>
          </cell>
          <cell r="AA31">
            <v>1</v>
          </cell>
          <cell r="AB31">
            <v>3</v>
          </cell>
          <cell r="AC31">
            <v>2</v>
          </cell>
          <cell r="AD31">
            <v>10</v>
          </cell>
          <cell r="AF31">
            <v>1</v>
          </cell>
          <cell r="AG31">
            <v>1</v>
          </cell>
          <cell r="AH31">
            <v>6</v>
          </cell>
          <cell r="AI31">
            <v>4</v>
          </cell>
          <cell r="AM31">
            <v>0.41</v>
          </cell>
          <cell r="AQ31">
            <v>4</v>
          </cell>
          <cell r="AR31">
            <v>4</v>
          </cell>
          <cell r="AS31">
            <v>1</v>
          </cell>
          <cell r="AT31">
            <v>0</v>
          </cell>
          <cell r="AV31">
            <v>40800</v>
          </cell>
          <cell r="AW31">
            <v>101115.95</v>
          </cell>
          <cell r="AX31">
            <v>0</v>
          </cell>
          <cell r="AY31">
            <v>0</v>
          </cell>
          <cell r="BG31">
            <v>0</v>
          </cell>
          <cell r="BH31">
            <v>0</v>
          </cell>
          <cell r="BI31">
            <v>0</v>
          </cell>
          <cell r="BR31">
            <v>0</v>
          </cell>
          <cell r="BS31">
            <v>0</v>
          </cell>
          <cell r="BT31">
            <v>55922</v>
          </cell>
          <cell r="BU31">
            <v>0</v>
          </cell>
          <cell r="BW31">
            <v>0</v>
          </cell>
          <cell r="BX31">
            <v>3328</v>
          </cell>
          <cell r="BY31">
            <v>1282</v>
          </cell>
          <cell r="BZ31">
            <v>1115</v>
          </cell>
          <cell r="CA31">
            <v>1115</v>
          </cell>
          <cell r="CB31">
            <v>1282</v>
          </cell>
          <cell r="CC31">
            <v>4460</v>
          </cell>
          <cell r="CF31">
            <v>0</v>
          </cell>
          <cell r="CG31">
            <v>0</v>
          </cell>
          <cell r="CJ31">
            <v>0</v>
          </cell>
          <cell r="CK31">
            <v>0</v>
          </cell>
          <cell r="CL31">
            <v>22300</v>
          </cell>
          <cell r="CM31">
            <v>60400</v>
          </cell>
          <cell r="CN31">
            <v>4391</v>
          </cell>
          <cell r="CO31">
            <v>0</v>
          </cell>
          <cell r="CP31">
            <v>0</v>
          </cell>
          <cell r="CQ31">
            <v>0</v>
          </cell>
          <cell r="CR31">
            <v>0</v>
          </cell>
          <cell r="CS31">
            <v>0</v>
          </cell>
          <cell r="CT31">
            <v>0</v>
          </cell>
          <cell r="CU31">
            <v>13859</v>
          </cell>
          <cell r="CV31">
            <v>0</v>
          </cell>
          <cell r="CX31">
            <v>17225</v>
          </cell>
          <cell r="CY31">
            <v>0</v>
          </cell>
          <cell r="CZ31">
            <v>0</v>
          </cell>
          <cell r="DA31">
            <v>112569</v>
          </cell>
          <cell r="DB31">
            <v>0</v>
          </cell>
          <cell r="DC31">
            <v>4216583.95</v>
          </cell>
          <cell r="DD31">
            <v>126964.59</v>
          </cell>
          <cell r="DE31">
            <v>225138</v>
          </cell>
          <cell r="DF31">
            <v>49.41</v>
          </cell>
          <cell r="DH31">
            <v>42</v>
          </cell>
          <cell r="DI31">
            <v>7.4099999999999966</v>
          </cell>
          <cell r="DJ31">
            <v>40.409999999999997</v>
          </cell>
          <cell r="DK31">
            <v>37</v>
          </cell>
          <cell r="DL31">
            <v>3.4099999999999966</v>
          </cell>
          <cell r="DM31">
            <v>0</v>
          </cell>
          <cell r="DN31">
            <v>9</v>
          </cell>
          <cell r="DO31">
            <v>174</v>
          </cell>
          <cell r="DP31">
            <v>17.399999999999999</v>
          </cell>
        </row>
        <row r="32">
          <cell r="A32">
            <v>467</v>
          </cell>
          <cell r="B32" t="str">
            <v>Dunbar</v>
          </cell>
          <cell r="C32" t="str">
            <v>HS</v>
          </cell>
          <cell r="D32">
            <v>5</v>
          </cell>
          <cell r="E32">
            <v>662</v>
          </cell>
          <cell r="F32">
            <v>0.67800000000000005</v>
          </cell>
          <cell r="G32">
            <v>449</v>
          </cell>
          <cell r="H32">
            <v>1</v>
          </cell>
          <cell r="I32">
            <v>1</v>
          </cell>
          <cell r="J32">
            <v>2.2000000000000002</v>
          </cell>
          <cell r="L32">
            <v>3</v>
          </cell>
          <cell r="M32">
            <v>1</v>
          </cell>
          <cell r="N32">
            <v>1</v>
          </cell>
          <cell r="O32">
            <v>1.7</v>
          </cell>
          <cell r="P32">
            <v>1</v>
          </cell>
          <cell r="Q32">
            <v>1</v>
          </cell>
          <cell r="S32">
            <v>1</v>
          </cell>
          <cell r="T32">
            <v>1</v>
          </cell>
          <cell r="U32">
            <v>9</v>
          </cell>
          <cell r="V32">
            <v>1</v>
          </cell>
          <cell r="AD32">
            <v>27.583333333333332</v>
          </cell>
          <cell r="AE32">
            <v>7.6766666666666659</v>
          </cell>
          <cell r="AF32">
            <v>2</v>
          </cell>
          <cell r="AG32">
            <v>4</v>
          </cell>
          <cell r="AH32">
            <v>14</v>
          </cell>
          <cell r="AI32">
            <v>5</v>
          </cell>
          <cell r="AJ32">
            <v>1</v>
          </cell>
          <cell r="AL32">
            <v>1</v>
          </cell>
          <cell r="AT32">
            <v>75000</v>
          </cell>
          <cell r="AV32">
            <v>0</v>
          </cell>
          <cell r="AW32">
            <v>520350.64</v>
          </cell>
          <cell r="AX32">
            <v>0</v>
          </cell>
          <cell r="AY32">
            <v>20877</v>
          </cell>
          <cell r="BF32">
            <v>1</v>
          </cell>
          <cell r="BG32">
            <v>12216</v>
          </cell>
          <cell r="BH32">
            <v>23000</v>
          </cell>
          <cell r="BI32">
            <v>32000</v>
          </cell>
          <cell r="BJ32">
            <v>2</v>
          </cell>
          <cell r="BL32">
            <v>1</v>
          </cell>
          <cell r="BM32">
            <v>1</v>
          </cell>
          <cell r="BO32">
            <v>1</v>
          </cell>
          <cell r="BR32">
            <v>0</v>
          </cell>
          <cell r="BS32">
            <v>0</v>
          </cell>
          <cell r="BT32">
            <v>488092</v>
          </cell>
          <cell r="BU32">
            <v>0</v>
          </cell>
          <cell r="BV32">
            <v>1</v>
          </cell>
          <cell r="BW32">
            <v>0</v>
          </cell>
          <cell r="BX32">
            <v>8978</v>
          </cell>
          <cell r="BY32">
            <v>19033</v>
          </cell>
          <cell r="BZ32">
            <v>9930</v>
          </cell>
          <cell r="CA32">
            <v>9930</v>
          </cell>
          <cell r="CB32">
            <v>22839</v>
          </cell>
          <cell r="CC32">
            <v>13240</v>
          </cell>
          <cell r="CD32">
            <v>1</v>
          </cell>
          <cell r="CF32">
            <v>0</v>
          </cell>
          <cell r="CG32">
            <v>0</v>
          </cell>
          <cell r="CJ32">
            <v>5000</v>
          </cell>
          <cell r="CK32">
            <v>113946</v>
          </cell>
          <cell r="CL32">
            <v>66200</v>
          </cell>
          <cell r="CM32">
            <v>145441</v>
          </cell>
          <cell r="CN32">
            <v>17368</v>
          </cell>
          <cell r="CO32">
            <v>0</v>
          </cell>
          <cell r="CP32">
            <v>0</v>
          </cell>
          <cell r="CQ32">
            <v>0</v>
          </cell>
          <cell r="CR32">
            <v>0</v>
          </cell>
          <cell r="CS32">
            <v>0</v>
          </cell>
          <cell r="CT32">
            <v>0</v>
          </cell>
          <cell r="CU32">
            <v>0</v>
          </cell>
          <cell r="CV32">
            <v>0</v>
          </cell>
          <cell r="CX32">
            <v>52125</v>
          </cell>
          <cell r="CY32">
            <v>0</v>
          </cell>
          <cell r="CZ32">
            <v>0</v>
          </cell>
          <cell r="DA32">
            <v>0</v>
          </cell>
          <cell r="DB32">
            <v>112569</v>
          </cell>
          <cell r="DC32">
            <v>11444983.640000001</v>
          </cell>
          <cell r="DD32">
            <v>270835.06</v>
          </cell>
          <cell r="DE32">
            <v>112569</v>
          </cell>
          <cell r="DF32">
            <v>95.16</v>
          </cell>
          <cell r="DH32">
            <v>91.085847705290035</v>
          </cell>
          <cell r="DI32">
            <v>4.0741522947099611</v>
          </cell>
          <cell r="DJ32">
            <v>95.16</v>
          </cell>
          <cell r="DK32">
            <v>91.085847705290035</v>
          </cell>
          <cell r="DL32">
            <v>4.0741522947099611</v>
          </cell>
          <cell r="DM32">
            <v>0</v>
          </cell>
          <cell r="DN32">
            <v>0</v>
          </cell>
          <cell r="DO32">
            <v>662</v>
          </cell>
          <cell r="DP32">
            <v>18.774815655133295</v>
          </cell>
        </row>
        <row r="33">
          <cell r="A33">
            <v>457</v>
          </cell>
          <cell r="B33" t="str">
            <v>Eastern</v>
          </cell>
          <cell r="C33" t="str">
            <v>HS</v>
          </cell>
          <cell r="D33">
            <v>6</v>
          </cell>
          <cell r="E33">
            <v>770</v>
          </cell>
          <cell r="F33">
            <v>0.72499999999999998</v>
          </cell>
          <cell r="G33">
            <v>558</v>
          </cell>
          <cell r="H33">
            <v>1</v>
          </cell>
          <cell r="I33">
            <v>1</v>
          </cell>
          <cell r="J33">
            <v>2.6</v>
          </cell>
          <cell r="L33">
            <v>3.5</v>
          </cell>
          <cell r="M33">
            <v>1</v>
          </cell>
          <cell r="N33">
            <v>1</v>
          </cell>
          <cell r="O33">
            <v>1.9</v>
          </cell>
          <cell r="P33">
            <v>1</v>
          </cell>
          <cell r="Q33">
            <v>1</v>
          </cell>
          <cell r="S33">
            <v>1</v>
          </cell>
          <cell r="T33">
            <v>1</v>
          </cell>
          <cell r="U33">
            <v>8</v>
          </cell>
          <cell r="V33">
            <v>1</v>
          </cell>
          <cell r="AD33">
            <v>32.083333333333336</v>
          </cell>
          <cell r="AE33">
            <v>6.4966666666666626</v>
          </cell>
          <cell r="AF33">
            <v>2</v>
          </cell>
          <cell r="AG33">
            <v>4</v>
          </cell>
          <cell r="AH33">
            <v>21</v>
          </cell>
          <cell r="AI33">
            <v>9</v>
          </cell>
          <cell r="AJ33">
            <v>1</v>
          </cell>
          <cell r="AL33">
            <v>2</v>
          </cell>
          <cell r="AT33">
            <v>65000</v>
          </cell>
          <cell r="AV33">
            <v>0</v>
          </cell>
          <cell r="AW33">
            <v>579320.16</v>
          </cell>
          <cell r="AX33">
            <v>0</v>
          </cell>
          <cell r="AY33">
            <v>32912</v>
          </cell>
          <cell r="AZ33">
            <v>1</v>
          </cell>
          <cell r="BC33">
            <v>1</v>
          </cell>
          <cell r="BF33">
            <v>1</v>
          </cell>
          <cell r="BG33">
            <v>25716</v>
          </cell>
          <cell r="BH33">
            <v>19500</v>
          </cell>
          <cell r="BI33">
            <v>32000</v>
          </cell>
          <cell r="BJ33">
            <v>2</v>
          </cell>
          <cell r="BL33">
            <v>1</v>
          </cell>
          <cell r="BR33">
            <v>0</v>
          </cell>
          <cell r="BS33">
            <v>0</v>
          </cell>
          <cell r="BT33">
            <v>488092</v>
          </cell>
          <cell r="BU33">
            <v>0</v>
          </cell>
          <cell r="BV33">
            <v>1</v>
          </cell>
          <cell r="BW33">
            <v>0</v>
          </cell>
          <cell r="BX33">
            <v>11173</v>
          </cell>
          <cell r="BY33">
            <v>22138</v>
          </cell>
          <cell r="BZ33">
            <v>11550</v>
          </cell>
          <cell r="CA33">
            <v>11550</v>
          </cell>
          <cell r="CB33">
            <v>26565</v>
          </cell>
          <cell r="CC33">
            <v>15400</v>
          </cell>
          <cell r="CD33">
            <v>1</v>
          </cell>
          <cell r="CF33">
            <v>0</v>
          </cell>
          <cell r="CG33">
            <v>0</v>
          </cell>
          <cell r="CJ33">
            <v>0</v>
          </cell>
          <cell r="CK33">
            <v>0</v>
          </cell>
          <cell r="CL33">
            <v>77000</v>
          </cell>
          <cell r="CM33">
            <v>171646</v>
          </cell>
          <cell r="CN33">
            <v>17681</v>
          </cell>
          <cell r="CO33">
            <v>0</v>
          </cell>
          <cell r="CP33">
            <v>0</v>
          </cell>
          <cell r="CQ33">
            <v>0</v>
          </cell>
          <cell r="CR33">
            <v>0</v>
          </cell>
          <cell r="CS33">
            <v>0</v>
          </cell>
          <cell r="CT33">
            <v>0</v>
          </cell>
          <cell r="CU33">
            <v>0</v>
          </cell>
          <cell r="CV33">
            <v>32187</v>
          </cell>
          <cell r="CX33">
            <v>22425</v>
          </cell>
          <cell r="CY33">
            <v>0</v>
          </cell>
          <cell r="CZ33">
            <v>0</v>
          </cell>
          <cell r="DA33">
            <v>0</v>
          </cell>
          <cell r="DB33">
            <v>0</v>
          </cell>
          <cell r="DC33">
            <v>12848705.16</v>
          </cell>
          <cell r="DD33">
            <v>350511.84</v>
          </cell>
          <cell r="DE33">
            <v>117087</v>
          </cell>
          <cell r="DF33">
            <v>110.58</v>
          </cell>
          <cell r="DH33">
            <v>114.31167412756278</v>
          </cell>
          <cell r="DI33">
            <v>-3.7316741275627834</v>
          </cell>
          <cell r="DJ33">
            <v>110.58</v>
          </cell>
          <cell r="DK33">
            <v>114.31167412756278</v>
          </cell>
          <cell r="DL33">
            <v>-3.7316741275627834</v>
          </cell>
          <cell r="DM33">
            <v>0</v>
          </cell>
          <cell r="DN33">
            <v>0</v>
          </cell>
          <cell r="DO33">
            <v>770</v>
          </cell>
          <cell r="DP33">
            <v>19.958527734577501</v>
          </cell>
        </row>
        <row r="34">
          <cell r="A34">
            <v>232</v>
          </cell>
          <cell r="B34" t="str">
            <v>Eaton</v>
          </cell>
          <cell r="C34" t="str">
            <v>ES</v>
          </cell>
          <cell r="D34">
            <v>3</v>
          </cell>
          <cell r="E34">
            <v>444</v>
          </cell>
          <cell r="F34">
            <v>5.1999999999999998E-2</v>
          </cell>
          <cell r="G34">
            <v>23</v>
          </cell>
          <cell r="H34">
            <v>1</v>
          </cell>
          <cell r="I34">
            <v>1</v>
          </cell>
          <cell r="J34">
            <v>1.1000000000000001</v>
          </cell>
          <cell r="M34">
            <v>1</v>
          </cell>
          <cell r="N34">
            <v>1</v>
          </cell>
          <cell r="O34">
            <v>1.1000000000000001</v>
          </cell>
          <cell r="S34">
            <v>1</v>
          </cell>
          <cell r="T34">
            <v>1</v>
          </cell>
          <cell r="U34">
            <v>2</v>
          </cell>
          <cell r="V34">
            <v>1</v>
          </cell>
          <cell r="W34">
            <v>4.5</v>
          </cell>
          <cell r="AA34">
            <v>2</v>
          </cell>
          <cell r="AB34">
            <v>2</v>
          </cell>
          <cell r="AC34">
            <v>3</v>
          </cell>
          <cell r="AD34">
            <v>19</v>
          </cell>
          <cell r="AF34">
            <v>1</v>
          </cell>
          <cell r="AG34">
            <v>1</v>
          </cell>
          <cell r="AH34">
            <v>4</v>
          </cell>
          <cell r="AI34">
            <v>1</v>
          </cell>
          <cell r="AL34">
            <v>3</v>
          </cell>
          <cell r="AT34">
            <v>0</v>
          </cell>
          <cell r="AV34">
            <v>0</v>
          </cell>
          <cell r="AW34">
            <v>0</v>
          </cell>
          <cell r="AX34">
            <v>11100</v>
          </cell>
          <cell r="AY34">
            <v>0</v>
          </cell>
          <cell r="BG34">
            <v>0</v>
          </cell>
          <cell r="BH34">
            <v>0</v>
          </cell>
          <cell r="BI34">
            <v>0</v>
          </cell>
          <cell r="BR34">
            <v>0</v>
          </cell>
          <cell r="BS34">
            <v>0</v>
          </cell>
          <cell r="BT34">
            <v>167765</v>
          </cell>
          <cell r="BU34">
            <v>0</v>
          </cell>
          <cell r="BW34">
            <v>0</v>
          </cell>
          <cell r="BX34">
            <v>0</v>
          </cell>
          <cell r="BY34">
            <v>2553</v>
          </cell>
          <cell r="BZ34">
            <v>2220</v>
          </cell>
          <cell r="CA34">
            <v>2220</v>
          </cell>
          <cell r="CB34">
            <v>2553</v>
          </cell>
          <cell r="CC34">
            <v>8880</v>
          </cell>
          <cell r="CF34">
            <v>0</v>
          </cell>
          <cell r="CG34">
            <v>0</v>
          </cell>
          <cell r="CJ34">
            <v>0</v>
          </cell>
          <cell r="CK34">
            <v>0</v>
          </cell>
          <cell r="CL34">
            <v>44400</v>
          </cell>
          <cell r="CM34">
            <v>82999</v>
          </cell>
          <cell r="CN34">
            <v>5123</v>
          </cell>
          <cell r="CO34">
            <v>0</v>
          </cell>
          <cell r="CP34">
            <v>0</v>
          </cell>
          <cell r="CQ34">
            <v>0</v>
          </cell>
          <cell r="CR34">
            <v>0</v>
          </cell>
          <cell r="CS34">
            <v>0</v>
          </cell>
          <cell r="CT34">
            <v>0</v>
          </cell>
          <cell r="CU34">
            <v>0</v>
          </cell>
          <cell r="CV34">
            <v>0</v>
          </cell>
          <cell r="CX34">
            <v>3150</v>
          </cell>
          <cell r="CY34">
            <v>0</v>
          </cell>
          <cell r="CZ34">
            <v>0</v>
          </cell>
          <cell r="DA34">
            <v>0</v>
          </cell>
          <cell r="DB34">
            <v>0</v>
          </cell>
          <cell r="DC34">
            <v>5488144</v>
          </cell>
          <cell r="DD34">
            <v>59973.69</v>
          </cell>
          <cell r="DE34">
            <v>56284.5</v>
          </cell>
          <cell r="DF34">
            <v>51.7</v>
          </cell>
          <cell r="DH34">
            <v>51.400000000000006</v>
          </cell>
          <cell r="DI34">
            <v>0.29999999999999716</v>
          </cell>
          <cell r="DJ34">
            <v>51.7</v>
          </cell>
          <cell r="DK34">
            <v>51.400000000000006</v>
          </cell>
          <cell r="DL34">
            <v>0.29999999999999716</v>
          </cell>
          <cell r="DM34">
            <v>0</v>
          </cell>
          <cell r="DN34">
            <v>0</v>
          </cell>
          <cell r="DO34">
            <v>406</v>
          </cell>
          <cell r="DP34">
            <v>21.368421052631579</v>
          </cell>
        </row>
        <row r="35">
          <cell r="A35">
            <v>407</v>
          </cell>
          <cell r="B35" t="str">
            <v>Eliot-Hine</v>
          </cell>
          <cell r="C35" t="str">
            <v>MS</v>
          </cell>
          <cell r="D35">
            <v>6</v>
          </cell>
          <cell r="E35">
            <v>278</v>
          </cell>
          <cell r="F35">
            <v>0.59</v>
          </cell>
          <cell r="G35">
            <v>164</v>
          </cell>
          <cell r="H35">
            <v>1</v>
          </cell>
          <cell r="I35">
            <v>1</v>
          </cell>
          <cell r="J35">
            <v>0.9</v>
          </cell>
          <cell r="K35">
            <v>1</v>
          </cell>
          <cell r="M35">
            <v>0.5</v>
          </cell>
          <cell r="N35">
            <v>1</v>
          </cell>
          <cell r="S35">
            <v>1</v>
          </cell>
          <cell r="T35">
            <v>1</v>
          </cell>
          <cell r="U35">
            <v>3</v>
          </cell>
          <cell r="V35">
            <v>0.5</v>
          </cell>
          <cell r="AD35">
            <v>12.6</v>
          </cell>
          <cell r="AF35">
            <v>1</v>
          </cell>
          <cell r="AG35">
            <v>1</v>
          </cell>
          <cell r="AH35">
            <v>10</v>
          </cell>
          <cell r="AI35">
            <v>6</v>
          </cell>
          <cell r="AM35">
            <v>0.14000000000000001</v>
          </cell>
          <cell r="AT35">
            <v>0</v>
          </cell>
          <cell r="AV35">
            <v>0</v>
          </cell>
          <cell r="AW35">
            <v>126055.54999999999</v>
          </cell>
          <cell r="AX35">
            <v>0</v>
          </cell>
          <cell r="AY35">
            <v>0</v>
          </cell>
          <cell r="AZ35">
            <v>1</v>
          </cell>
          <cell r="BB35">
            <v>1</v>
          </cell>
          <cell r="BG35">
            <v>0</v>
          </cell>
          <cell r="BH35">
            <v>0</v>
          </cell>
          <cell r="BI35">
            <v>0</v>
          </cell>
          <cell r="BP35">
            <v>2</v>
          </cell>
          <cell r="BQ35">
            <v>1</v>
          </cell>
          <cell r="BR35">
            <v>23000</v>
          </cell>
          <cell r="BS35">
            <v>0</v>
          </cell>
          <cell r="BT35">
            <v>299968</v>
          </cell>
          <cell r="BU35">
            <v>100000</v>
          </cell>
          <cell r="BW35">
            <v>0</v>
          </cell>
          <cell r="BX35">
            <v>3282</v>
          </cell>
          <cell r="BY35">
            <v>2558</v>
          </cell>
          <cell r="BZ35">
            <v>2780</v>
          </cell>
          <cell r="CA35">
            <v>2780</v>
          </cell>
          <cell r="CB35">
            <v>3197</v>
          </cell>
          <cell r="CC35">
            <v>5560</v>
          </cell>
          <cell r="CF35">
            <v>0</v>
          </cell>
          <cell r="CG35">
            <v>0</v>
          </cell>
          <cell r="CJ35">
            <v>0</v>
          </cell>
          <cell r="CK35">
            <v>0</v>
          </cell>
          <cell r="CL35">
            <v>27800</v>
          </cell>
          <cell r="CM35">
            <v>76344</v>
          </cell>
          <cell r="CN35">
            <v>8080</v>
          </cell>
          <cell r="CO35">
            <v>0</v>
          </cell>
          <cell r="CP35">
            <v>0</v>
          </cell>
          <cell r="CQ35">
            <v>0</v>
          </cell>
          <cell r="CR35">
            <v>0</v>
          </cell>
          <cell r="CS35">
            <v>0</v>
          </cell>
          <cell r="CT35">
            <v>0</v>
          </cell>
          <cell r="CU35">
            <v>0</v>
          </cell>
          <cell r="CV35">
            <v>23387</v>
          </cell>
          <cell r="CX35">
            <v>39000</v>
          </cell>
          <cell r="CY35">
            <v>0</v>
          </cell>
          <cell r="CZ35">
            <v>0</v>
          </cell>
          <cell r="DA35">
            <v>0</v>
          </cell>
          <cell r="DB35">
            <v>56285</v>
          </cell>
          <cell r="DC35">
            <v>5442338.5499999998</v>
          </cell>
          <cell r="DD35">
            <v>117646.79</v>
          </cell>
          <cell r="DE35">
            <v>112569</v>
          </cell>
          <cell r="DF35">
            <v>46.64</v>
          </cell>
          <cell r="DH35">
            <v>46.927272727272722</v>
          </cell>
          <cell r="DI35">
            <v>-0.2872727272727218</v>
          </cell>
          <cell r="DJ35">
            <v>46.64</v>
          </cell>
          <cell r="DK35">
            <v>46.927272727272722</v>
          </cell>
          <cell r="DL35">
            <v>-0.2872727272727218</v>
          </cell>
          <cell r="DM35">
            <v>0</v>
          </cell>
          <cell r="DN35">
            <v>0</v>
          </cell>
          <cell r="DO35">
            <v>278</v>
          </cell>
          <cell r="DP35">
            <v>19.041095890410958</v>
          </cell>
        </row>
        <row r="36">
          <cell r="A36">
            <v>471</v>
          </cell>
          <cell r="B36" t="str">
            <v>Ellington School of the Arts</v>
          </cell>
          <cell r="C36" t="str">
            <v>HS</v>
          </cell>
          <cell r="D36">
            <v>3</v>
          </cell>
          <cell r="E36">
            <v>611</v>
          </cell>
          <cell r="F36">
            <v>0.314</v>
          </cell>
          <cell r="G36">
            <v>192</v>
          </cell>
          <cell r="H36">
            <v>1</v>
          </cell>
          <cell r="I36">
            <v>1</v>
          </cell>
          <cell r="J36">
            <v>2</v>
          </cell>
          <cell r="L36">
            <v>2.5</v>
          </cell>
          <cell r="M36">
            <v>1</v>
          </cell>
          <cell r="N36">
            <v>1</v>
          </cell>
          <cell r="O36">
            <v>1.5</v>
          </cell>
          <cell r="P36">
            <v>1</v>
          </cell>
          <cell r="Q36">
            <v>1</v>
          </cell>
          <cell r="S36">
            <v>1</v>
          </cell>
          <cell r="T36">
            <v>1</v>
          </cell>
          <cell r="U36">
            <v>5</v>
          </cell>
          <cell r="V36">
            <v>1</v>
          </cell>
          <cell r="AD36">
            <v>25.458333333333332</v>
          </cell>
          <cell r="AE36">
            <v>6.5416666666666679</v>
          </cell>
          <cell r="AF36">
            <v>1</v>
          </cell>
          <cell r="AG36">
            <v>1</v>
          </cell>
          <cell r="AH36">
            <v>4</v>
          </cell>
          <cell r="AM36">
            <v>0.41</v>
          </cell>
          <cell r="AT36">
            <v>0</v>
          </cell>
          <cell r="AV36">
            <v>0</v>
          </cell>
          <cell r="AW36">
            <v>0</v>
          </cell>
          <cell r="AX36">
            <v>15275</v>
          </cell>
          <cell r="AY36">
            <v>0</v>
          </cell>
          <cell r="BG36">
            <v>0</v>
          </cell>
          <cell r="BH36">
            <v>0</v>
          </cell>
          <cell r="BI36">
            <v>0</v>
          </cell>
          <cell r="BR36">
            <v>0</v>
          </cell>
          <cell r="BS36">
            <v>0</v>
          </cell>
          <cell r="BT36">
            <v>355889</v>
          </cell>
          <cell r="BU36">
            <v>0</v>
          </cell>
          <cell r="BW36">
            <v>0</v>
          </cell>
          <cell r="BX36">
            <v>3849</v>
          </cell>
          <cell r="BY36">
            <v>17566</v>
          </cell>
          <cell r="BZ36">
            <v>9165</v>
          </cell>
          <cell r="CA36">
            <v>9165</v>
          </cell>
          <cell r="CB36">
            <v>21080</v>
          </cell>
          <cell r="CC36">
            <v>12220</v>
          </cell>
          <cell r="CD36">
            <v>1</v>
          </cell>
          <cell r="CF36">
            <v>0</v>
          </cell>
          <cell r="CG36">
            <v>0</v>
          </cell>
          <cell r="CJ36">
            <v>0</v>
          </cell>
          <cell r="CK36">
            <v>0</v>
          </cell>
          <cell r="CL36">
            <v>61100</v>
          </cell>
          <cell r="CM36">
            <v>100543</v>
          </cell>
          <cell r="CN36">
            <v>15287</v>
          </cell>
          <cell r="CO36">
            <v>0</v>
          </cell>
          <cell r="CP36">
            <v>0</v>
          </cell>
          <cell r="CQ36">
            <v>0</v>
          </cell>
          <cell r="CR36">
            <v>0</v>
          </cell>
          <cell r="CS36">
            <v>0</v>
          </cell>
          <cell r="CT36">
            <v>3233529</v>
          </cell>
          <cell r="CU36">
            <v>0</v>
          </cell>
          <cell r="CV36">
            <v>0</v>
          </cell>
          <cell r="CX36">
            <v>20580</v>
          </cell>
          <cell r="CY36">
            <v>0</v>
          </cell>
          <cell r="CZ36">
            <v>0</v>
          </cell>
          <cell r="DA36">
            <v>0</v>
          </cell>
          <cell r="DB36">
            <v>0</v>
          </cell>
          <cell r="DC36">
            <v>10120132</v>
          </cell>
          <cell r="DD36">
            <v>94334.7</v>
          </cell>
          <cell r="DE36">
            <v>247569</v>
          </cell>
          <cell r="DF36">
            <v>59.41</v>
          </cell>
          <cell r="DH36">
            <v>58.209091357797035</v>
          </cell>
          <cell r="DI36">
            <v>1.2009086422029611</v>
          </cell>
          <cell r="DJ36">
            <v>59.41</v>
          </cell>
          <cell r="DK36">
            <v>58.209091357797035</v>
          </cell>
          <cell r="DL36">
            <v>1.2009086422029611</v>
          </cell>
          <cell r="DM36">
            <v>0</v>
          </cell>
          <cell r="DN36">
            <v>0</v>
          </cell>
          <cell r="DO36">
            <v>611</v>
          </cell>
          <cell r="DP36" t="str">
            <v>N/A</v>
          </cell>
        </row>
        <row r="37">
          <cell r="A37">
            <v>318</v>
          </cell>
          <cell r="B37" t="str">
            <v>Excel Academy</v>
          </cell>
          <cell r="C37" t="str">
            <v>EC</v>
          </cell>
          <cell r="D37">
            <v>8</v>
          </cell>
          <cell r="E37">
            <v>456</v>
          </cell>
          <cell r="F37">
            <v>0.76300000000000001</v>
          </cell>
          <cell r="G37">
            <v>348</v>
          </cell>
          <cell r="H37">
            <v>1</v>
          </cell>
          <cell r="I37">
            <v>1</v>
          </cell>
          <cell r="J37">
            <v>1.3</v>
          </cell>
          <cell r="K37">
            <v>1</v>
          </cell>
          <cell r="M37">
            <v>1</v>
          </cell>
          <cell r="N37">
            <v>1</v>
          </cell>
          <cell r="O37">
            <v>1.1000000000000001</v>
          </cell>
          <cell r="S37">
            <v>1</v>
          </cell>
          <cell r="T37">
            <v>1</v>
          </cell>
          <cell r="U37">
            <v>2</v>
          </cell>
          <cell r="V37">
            <v>1</v>
          </cell>
          <cell r="W37">
            <v>3</v>
          </cell>
          <cell r="Y37">
            <v>3</v>
          </cell>
          <cell r="AA37">
            <v>3</v>
          </cell>
          <cell r="AB37">
            <v>6</v>
          </cell>
          <cell r="AC37">
            <v>3</v>
          </cell>
          <cell r="AD37">
            <v>19.2</v>
          </cell>
          <cell r="AF37">
            <v>1</v>
          </cell>
          <cell r="AG37">
            <v>2</v>
          </cell>
          <cell r="AH37">
            <v>8</v>
          </cell>
          <cell r="AI37">
            <v>4</v>
          </cell>
          <cell r="AM37">
            <v>0.05</v>
          </cell>
          <cell r="AQ37">
            <v>8</v>
          </cell>
          <cell r="AR37">
            <v>8</v>
          </cell>
          <cell r="AS37">
            <v>1</v>
          </cell>
          <cell r="AT37">
            <v>0</v>
          </cell>
          <cell r="AV37">
            <v>54400</v>
          </cell>
          <cell r="AW37">
            <v>206766.84000000003</v>
          </cell>
          <cell r="AX37">
            <v>0</v>
          </cell>
          <cell r="AY37">
            <v>0</v>
          </cell>
          <cell r="BG37">
            <v>0</v>
          </cell>
          <cell r="BH37">
            <v>0</v>
          </cell>
          <cell r="BI37">
            <v>0</v>
          </cell>
          <cell r="BP37">
            <v>2</v>
          </cell>
          <cell r="BR37">
            <v>23000</v>
          </cell>
          <cell r="BS37">
            <v>0</v>
          </cell>
          <cell r="BT37">
            <v>111844</v>
          </cell>
          <cell r="BU37">
            <v>100000</v>
          </cell>
          <cell r="BW37">
            <v>0</v>
          </cell>
          <cell r="BX37">
            <v>13969</v>
          </cell>
          <cell r="BY37">
            <v>3102</v>
          </cell>
          <cell r="BZ37">
            <v>2975</v>
          </cell>
          <cell r="CA37">
            <v>2975</v>
          </cell>
          <cell r="CB37">
            <v>3421</v>
          </cell>
          <cell r="CC37">
            <v>9120</v>
          </cell>
          <cell r="CF37">
            <v>0</v>
          </cell>
          <cell r="CG37">
            <v>0</v>
          </cell>
          <cell r="CJ37">
            <v>0</v>
          </cell>
          <cell r="CK37">
            <v>0</v>
          </cell>
          <cell r="CL37">
            <v>45600</v>
          </cell>
          <cell r="CM37">
            <v>103375</v>
          </cell>
          <cell r="CN37">
            <v>7099</v>
          </cell>
          <cell r="CO37">
            <v>0</v>
          </cell>
          <cell r="CP37">
            <v>0</v>
          </cell>
          <cell r="CQ37">
            <v>0</v>
          </cell>
          <cell r="CR37">
            <v>0</v>
          </cell>
          <cell r="CS37">
            <v>0</v>
          </cell>
          <cell r="CT37">
            <v>0</v>
          </cell>
          <cell r="CU37">
            <v>13859</v>
          </cell>
          <cell r="CV37">
            <v>0</v>
          </cell>
          <cell r="CX37">
            <v>32825</v>
          </cell>
          <cell r="CY37">
            <v>0</v>
          </cell>
          <cell r="CZ37">
            <v>0</v>
          </cell>
          <cell r="DA37">
            <v>112569</v>
          </cell>
          <cell r="DB37">
            <v>112569</v>
          </cell>
          <cell r="DC37">
            <v>7345380.8399999999</v>
          </cell>
          <cell r="DD37">
            <v>269421.68</v>
          </cell>
          <cell r="DE37">
            <v>142587</v>
          </cell>
          <cell r="DF37">
            <v>83.649999999999991</v>
          </cell>
          <cell r="DH37">
            <v>80.390909090909091</v>
          </cell>
          <cell r="DI37">
            <v>3.2590909090909008</v>
          </cell>
          <cell r="DJ37">
            <v>66.649999999999991</v>
          </cell>
          <cell r="DK37">
            <v>69.390909090909091</v>
          </cell>
          <cell r="DL37">
            <v>-2.7409090909090992</v>
          </cell>
          <cell r="DM37">
            <v>0</v>
          </cell>
          <cell r="DN37">
            <v>17</v>
          </cell>
          <cell r="DO37">
            <v>378</v>
          </cell>
          <cell r="DP37">
            <v>17.830188679245282</v>
          </cell>
        </row>
        <row r="38">
          <cell r="A38">
            <v>238</v>
          </cell>
          <cell r="B38" t="str">
            <v>Garfield</v>
          </cell>
          <cell r="C38" t="str">
            <v>ES</v>
          </cell>
          <cell r="D38">
            <v>8</v>
          </cell>
          <cell r="E38">
            <v>239</v>
          </cell>
          <cell r="F38">
            <v>0.79500000000000004</v>
          </cell>
          <cell r="G38">
            <v>190</v>
          </cell>
          <cell r="H38">
            <v>1</v>
          </cell>
          <cell r="I38">
            <v>1</v>
          </cell>
          <cell r="M38">
            <v>0.5</v>
          </cell>
          <cell r="N38">
            <v>1</v>
          </cell>
          <cell r="S38">
            <v>1</v>
          </cell>
          <cell r="T38">
            <v>1</v>
          </cell>
          <cell r="U38">
            <v>1</v>
          </cell>
          <cell r="V38">
            <v>0.5</v>
          </cell>
          <cell r="W38">
            <v>3</v>
          </cell>
          <cell r="Y38">
            <v>1</v>
          </cell>
          <cell r="Z38">
            <v>1</v>
          </cell>
          <cell r="AA38">
            <v>1</v>
          </cell>
          <cell r="AB38">
            <v>3</v>
          </cell>
          <cell r="AC38">
            <v>2</v>
          </cell>
          <cell r="AD38">
            <v>11</v>
          </cell>
          <cell r="AF38">
            <v>1</v>
          </cell>
          <cell r="AG38">
            <v>1</v>
          </cell>
          <cell r="AH38">
            <v>6</v>
          </cell>
          <cell r="AI38">
            <v>6</v>
          </cell>
          <cell r="AM38">
            <v>0.05</v>
          </cell>
          <cell r="AQ38">
            <v>5</v>
          </cell>
          <cell r="AR38">
            <v>5</v>
          </cell>
          <cell r="AS38">
            <v>1</v>
          </cell>
          <cell r="AT38">
            <v>0</v>
          </cell>
          <cell r="AV38">
            <v>40800</v>
          </cell>
          <cell r="AW38">
            <v>108370.12</v>
          </cell>
          <cell r="AX38">
            <v>0</v>
          </cell>
          <cell r="AY38">
            <v>0</v>
          </cell>
          <cell r="BG38">
            <v>0</v>
          </cell>
          <cell r="BH38">
            <v>0</v>
          </cell>
          <cell r="BI38">
            <v>0</v>
          </cell>
          <cell r="BR38">
            <v>0</v>
          </cell>
          <cell r="BS38">
            <v>0</v>
          </cell>
          <cell r="BT38">
            <v>55922</v>
          </cell>
          <cell r="BU38">
            <v>0</v>
          </cell>
          <cell r="BW38">
            <v>0</v>
          </cell>
          <cell r="BX38">
            <v>7625</v>
          </cell>
          <cell r="BY38">
            <v>1374</v>
          </cell>
          <cell r="BZ38">
            <v>1195</v>
          </cell>
          <cell r="CA38">
            <v>1195</v>
          </cell>
          <cell r="CB38">
            <v>1374</v>
          </cell>
          <cell r="CC38">
            <v>4780</v>
          </cell>
          <cell r="CF38">
            <v>0</v>
          </cell>
          <cell r="CG38">
            <v>0</v>
          </cell>
          <cell r="CJ38">
            <v>0</v>
          </cell>
          <cell r="CK38">
            <v>0</v>
          </cell>
          <cell r="CL38">
            <v>23900</v>
          </cell>
          <cell r="CM38">
            <v>62760</v>
          </cell>
          <cell r="CN38">
            <v>4304</v>
          </cell>
          <cell r="CO38">
            <v>0</v>
          </cell>
          <cell r="CP38">
            <v>0</v>
          </cell>
          <cell r="CQ38">
            <v>0</v>
          </cell>
          <cell r="CR38">
            <v>0</v>
          </cell>
          <cell r="CS38">
            <v>0</v>
          </cell>
          <cell r="CT38">
            <v>0</v>
          </cell>
          <cell r="CU38">
            <v>13859</v>
          </cell>
          <cell r="CV38">
            <v>0</v>
          </cell>
          <cell r="CX38">
            <v>26325</v>
          </cell>
          <cell r="CY38">
            <v>0</v>
          </cell>
          <cell r="CZ38">
            <v>65219</v>
          </cell>
          <cell r="DA38">
            <v>112569</v>
          </cell>
          <cell r="DB38">
            <v>0</v>
          </cell>
          <cell r="DC38">
            <v>4467611.12</v>
          </cell>
          <cell r="DD38">
            <v>151027.20000000001</v>
          </cell>
          <cell r="DE38">
            <v>554794</v>
          </cell>
          <cell r="DF38">
            <v>54.05</v>
          </cell>
          <cell r="DH38">
            <v>52.090909090909093</v>
          </cell>
          <cell r="DI38">
            <v>1.9590909090909037</v>
          </cell>
          <cell r="DJ38">
            <v>43.05</v>
          </cell>
          <cell r="DK38">
            <v>45.090909090909093</v>
          </cell>
          <cell r="DL38">
            <v>-2.0409090909090963</v>
          </cell>
          <cell r="DM38">
            <v>0</v>
          </cell>
          <cell r="DN38">
            <v>11</v>
          </cell>
          <cell r="DO38">
            <v>191</v>
          </cell>
          <cell r="DP38">
            <v>17.363636363636363</v>
          </cell>
        </row>
        <row r="39">
          <cell r="A39">
            <v>239</v>
          </cell>
          <cell r="B39" t="str">
            <v>Garrison</v>
          </cell>
          <cell r="C39" t="str">
            <v>ES</v>
          </cell>
          <cell r="D39">
            <v>2</v>
          </cell>
          <cell r="E39">
            <v>336</v>
          </cell>
          <cell r="F39">
            <v>0.41699999999999998</v>
          </cell>
          <cell r="G39">
            <v>140</v>
          </cell>
          <cell r="H39">
            <v>1</v>
          </cell>
          <cell r="I39">
            <v>1</v>
          </cell>
          <cell r="J39">
            <v>0.8</v>
          </cell>
          <cell r="M39">
            <v>1</v>
          </cell>
          <cell r="N39">
            <v>1</v>
          </cell>
          <cell r="S39">
            <v>1</v>
          </cell>
          <cell r="T39">
            <v>1</v>
          </cell>
          <cell r="U39">
            <v>2</v>
          </cell>
          <cell r="V39">
            <v>1</v>
          </cell>
          <cell r="W39">
            <v>3</v>
          </cell>
          <cell r="Y39">
            <v>2</v>
          </cell>
          <cell r="Z39">
            <v>1</v>
          </cell>
          <cell r="AA39">
            <v>2</v>
          </cell>
          <cell r="AB39">
            <v>5</v>
          </cell>
          <cell r="AC39">
            <v>3</v>
          </cell>
          <cell r="AD39">
            <v>13</v>
          </cell>
          <cell r="AF39">
            <v>1</v>
          </cell>
          <cell r="AG39">
            <v>1</v>
          </cell>
          <cell r="AH39">
            <v>8</v>
          </cell>
          <cell r="AI39">
            <v>6</v>
          </cell>
          <cell r="AL39">
            <v>4</v>
          </cell>
          <cell r="AQ39">
            <v>5</v>
          </cell>
          <cell r="AR39">
            <v>5</v>
          </cell>
          <cell r="AS39">
            <v>1</v>
          </cell>
          <cell r="AT39">
            <v>0</v>
          </cell>
          <cell r="AV39">
            <v>40800</v>
          </cell>
          <cell r="AW39">
            <v>152352.79</v>
          </cell>
          <cell r="AX39">
            <v>0</v>
          </cell>
          <cell r="AY39">
            <v>0</v>
          </cell>
          <cell r="BG39">
            <v>0</v>
          </cell>
          <cell r="BH39">
            <v>0</v>
          </cell>
          <cell r="BI39">
            <v>0</v>
          </cell>
          <cell r="BR39">
            <v>0</v>
          </cell>
          <cell r="BS39">
            <v>0</v>
          </cell>
          <cell r="BT39">
            <v>55922</v>
          </cell>
          <cell r="BU39">
            <v>0</v>
          </cell>
          <cell r="BW39">
            <v>0</v>
          </cell>
          <cell r="BX39">
            <v>2797</v>
          </cell>
          <cell r="BY39">
            <v>1932</v>
          </cell>
          <cell r="BZ39">
            <v>1680</v>
          </cell>
          <cell r="CA39">
            <v>1680</v>
          </cell>
          <cell r="CB39">
            <v>1932</v>
          </cell>
          <cell r="CC39">
            <v>6720</v>
          </cell>
          <cell r="CF39">
            <v>0</v>
          </cell>
          <cell r="CG39">
            <v>0</v>
          </cell>
          <cell r="CJ39">
            <v>0</v>
          </cell>
          <cell r="CK39">
            <v>0</v>
          </cell>
          <cell r="CL39">
            <v>33600</v>
          </cell>
          <cell r="CM39">
            <v>85268</v>
          </cell>
          <cell r="CN39">
            <v>5297</v>
          </cell>
          <cell r="CO39">
            <v>0</v>
          </cell>
          <cell r="CP39">
            <v>0</v>
          </cell>
          <cell r="CQ39">
            <v>0</v>
          </cell>
          <cell r="CR39">
            <v>0</v>
          </cell>
          <cell r="CS39">
            <v>0</v>
          </cell>
          <cell r="CT39">
            <v>0</v>
          </cell>
          <cell r="CU39">
            <v>0</v>
          </cell>
          <cell r="CV39">
            <v>0</v>
          </cell>
          <cell r="CX39">
            <v>4050</v>
          </cell>
          <cell r="CY39">
            <v>0</v>
          </cell>
          <cell r="CZ39">
            <v>0</v>
          </cell>
          <cell r="DA39">
            <v>0</v>
          </cell>
          <cell r="DB39">
            <v>112569</v>
          </cell>
          <cell r="DC39">
            <v>5952706.79</v>
          </cell>
          <cell r="DD39">
            <v>151292.96</v>
          </cell>
          <cell r="DE39">
            <v>50000</v>
          </cell>
          <cell r="DF39">
            <v>69.8</v>
          </cell>
          <cell r="DH39">
            <v>62.8</v>
          </cell>
          <cell r="DI39">
            <v>7</v>
          </cell>
          <cell r="DJ39">
            <v>58.8</v>
          </cell>
          <cell r="DK39">
            <v>55.8</v>
          </cell>
          <cell r="DL39">
            <v>3</v>
          </cell>
          <cell r="DM39">
            <v>0</v>
          </cell>
          <cell r="DN39">
            <v>11</v>
          </cell>
          <cell r="DO39">
            <v>260</v>
          </cell>
          <cell r="DP39">
            <v>20</v>
          </cell>
        </row>
        <row r="40">
          <cell r="A40">
            <v>227</v>
          </cell>
          <cell r="B40" t="str">
            <v>H.D. Cooke</v>
          </cell>
          <cell r="C40" t="str">
            <v>ES</v>
          </cell>
          <cell r="D40">
            <v>1</v>
          </cell>
          <cell r="E40">
            <v>410</v>
          </cell>
          <cell r="F40">
            <v>0.51200000000000001</v>
          </cell>
          <cell r="G40">
            <v>210</v>
          </cell>
          <cell r="H40">
            <v>1</v>
          </cell>
          <cell r="I40">
            <v>1</v>
          </cell>
          <cell r="J40">
            <v>1</v>
          </cell>
          <cell r="M40">
            <v>1</v>
          </cell>
          <cell r="N40">
            <v>1</v>
          </cell>
          <cell r="O40">
            <v>1</v>
          </cell>
          <cell r="S40">
            <v>1</v>
          </cell>
          <cell r="T40">
            <v>1</v>
          </cell>
          <cell r="U40">
            <v>2</v>
          </cell>
          <cell r="V40">
            <v>1</v>
          </cell>
          <cell r="W40">
            <v>4.5</v>
          </cell>
          <cell r="X40">
            <v>0.5</v>
          </cell>
          <cell r="Y40">
            <v>2</v>
          </cell>
          <cell r="AA40">
            <v>3</v>
          </cell>
          <cell r="AB40">
            <v>5</v>
          </cell>
          <cell r="AC40">
            <v>3</v>
          </cell>
          <cell r="AD40">
            <v>17</v>
          </cell>
          <cell r="AF40">
            <v>1</v>
          </cell>
          <cell r="AG40">
            <v>2</v>
          </cell>
          <cell r="AH40">
            <v>7</v>
          </cell>
          <cell r="AI40">
            <v>4</v>
          </cell>
          <cell r="AL40">
            <v>9</v>
          </cell>
          <cell r="AO40">
            <v>1</v>
          </cell>
          <cell r="AT40">
            <v>0</v>
          </cell>
          <cell r="AV40">
            <v>0</v>
          </cell>
          <cell r="AW40">
            <v>185906.97</v>
          </cell>
          <cell r="AX40">
            <v>0</v>
          </cell>
          <cell r="AY40">
            <v>0</v>
          </cell>
          <cell r="BG40">
            <v>0</v>
          </cell>
          <cell r="BH40">
            <v>0</v>
          </cell>
          <cell r="BI40">
            <v>0</v>
          </cell>
          <cell r="BR40">
            <v>0</v>
          </cell>
          <cell r="BS40">
            <v>0</v>
          </cell>
          <cell r="BT40">
            <v>55922</v>
          </cell>
          <cell r="BU40">
            <v>0</v>
          </cell>
          <cell r="BW40">
            <v>0</v>
          </cell>
          <cell r="BX40">
            <v>4192</v>
          </cell>
          <cell r="BY40">
            <v>2358</v>
          </cell>
          <cell r="BZ40">
            <v>2050</v>
          </cell>
          <cell r="CA40">
            <v>2050</v>
          </cell>
          <cell r="CB40">
            <v>2358</v>
          </cell>
          <cell r="CC40">
            <v>8200</v>
          </cell>
          <cell r="CF40">
            <v>0</v>
          </cell>
          <cell r="CG40">
            <v>0</v>
          </cell>
          <cell r="CH40">
            <v>1</v>
          </cell>
          <cell r="CJ40">
            <v>0</v>
          </cell>
          <cell r="CK40">
            <v>0</v>
          </cell>
          <cell r="CL40">
            <v>41000</v>
          </cell>
          <cell r="CM40">
            <v>108941</v>
          </cell>
          <cell r="CN40">
            <v>6440</v>
          </cell>
          <cell r="CO40">
            <v>0</v>
          </cell>
          <cell r="CP40">
            <v>0</v>
          </cell>
          <cell r="CQ40">
            <v>0</v>
          </cell>
          <cell r="CR40">
            <v>0</v>
          </cell>
          <cell r="CS40">
            <v>0</v>
          </cell>
          <cell r="CT40">
            <v>0</v>
          </cell>
          <cell r="CU40">
            <v>0</v>
          </cell>
          <cell r="CV40">
            <v>0</v>
          </cell>
          <cell r="CX40">
            <v>10575</v>
          </cell>
          <cell r="CY40">
            <v>0</v>
          </cell>
          <cell r="CZ40">
            <v>0</v>
          </cell>
          <cell r="DA40">
            <v>0</v>
          </cell>
          <cell r="DB40">
            <v>0</v>
          </cell>
          <cell r="DC40">
            <v>7313583.9699999997</v>
          </cell>
          <cell r="DD40">
            <v>177307.99</v>
          </cell>
          <cell r="DE40">
            <v>156529</v>
          </cell>
          <cell r="DF40">
            <v>71</v>
          </cell>
          <cell r="DH40">
            <v>68.5</v>
          </cell>
          <cell r="DI40">
            <v>2.5</v>
          </cell>
          <cell r="DJ40">
            <v>71</v>
          </cell>
          <cell r="DK40">
            <v>68.5</v>
          </cell>
          <cell r="DL40">
            <v>2.5</v>
          </cell>
          <cell r="DM40">
            <v>0</v>
          </cell>
          <cell r="DN40">
            <v>0</v>
          </cell>
          <cell r="DO40">
            <v>324</v>
          </cell>
          <cell r="DP40">
            <v>19.058823529411764</v>
          </cell>
        </row>
        <row r="41">
          <cell r="A41">
            <v>246</v>
          </cell>
          <cell r="B41" t="str">
            <v>Hardy</v>
          </cell>
          <cell r="C41" t="str">
            <v>MS</v>
          </cell>
          <cell r="D41">
            <v>2</v>
          </cell>
          <cell r="E41">
            <v>525</v>
          </cell>
          <cell r="F41">
            <v>0.16</v>
          </cell>
          <cell r="G41">
            <v>84</v>
          </cell>
          <cell r="H41">
            <v>1</v>
          </cell>
          <cell r="I41">
            <v>1</v>
          </cell>
          <cell r="J41">
            <v>1.8</v>
          </cell>
          <cell r="K41">
            <v>1.3</v>
          </cell>
          <cell r="M41">
            <v>1</v>
          </cell>
          <cell r="N41">
            <v>1</v>
          </cell>
          <cell r="O41">
            <v>1.3</v>
          </cell>
          <cell r="S41">
            <v>1</v>
          </cell>
          <cell r="T41">
            <v>1</v>
          </cell>
          <cell r="U41">
            <v>3</v>
          </cell>
          <cell r="V41">
            <v>1</v>
          </cell>
          <cell r="AD41">
            <v>23.9</v>
          </cell>
          <cell r="AF41">
            <v>1</v>
          </cell>
          <cell r="AG41">
            <v>1</v>
          </cell>
          <cell r="AH41">
            <v>9</v>
          </cell>
          <cell r="AI41">
            <v>4</v>
          </cell>
          <cell r="AL41">
            <v>1</v>
          </cell>
          <cell r="AT41">
            <v>0</v>
          </cell>
          <cell r="AV41">
            <v>0</v>
          </cell>
          <cell r="AW41">
            <v>0</v>
          </cell>
          <cell r="AX41">
            <v>13125</v>
          </cell>
          <cell r="AY41">
            <v>0</v>
          </cell>
          <cell r="BA41">
            <v>1</v>
          </cell>
          <cell r="BG41">
            <v>0</v>
          </cell>
          <cell r="BH41">
            <v>0</v>
          </cell>
          <cell r="BI41">
            <v>0</v>
          </cell>
          <cell r="BP41">
            <v>3</v>
          </cell>
          <cell r="BR41">
            <v>23000</v>
          </cell>
          <cell r="BS41">
            <v>0</v>
          </cell>
          <cell r="BT41">
            <v>244046</v>
          </cell>
          <cell r="BU41">
            <v>100000</v>
          </cell>
          <cell r="BW41">
            <v>0</v>
          </cell>
          <cell r="BX41">
            <v>0</v>
          </cell>
          <cell r="BY41">
            <v>4830</v>
          </cell>
          <cell r="BZ41">
            <v>5250</v>
          </cell>
          <cell r="CA41">
            <v>5250</v>
          </cell>
          <cell r="CB41">
            <v>6038</v>
          </cell>
          <cell r="CC41">
            <v>10500</v>
          </cell>
          <cell r="CF41">
            <v>0</v>
          </cell>
          <cell r="CG41">
            <v>0</v>
          </cell>
          <cell r="CJ41">
            <v>0</v>
          </cell>
          <cell r="CK41">
            <v>0</v>
          </cell>
          <cell r="CL41">
            <v>52500</v>
          </cell>
          <cell r="CM41">
            <v>98286</v>
          </cell>
          <cell r="CN41">
            <v>7381</v>
          </cell>
          <cell r="CO41">
            <v>0</v>
          </cell>
          <cell r="CP41">
            <v>0</v>
          </cell>
          <cell r="CQ41">
            <v>0</v>
          </cell>
          <cell r="CR41">
            <v>0</v>
          </cell>
          <cell r="CS41">
            <v>0</v>
          </cell>
          <cell r="CT41">
            <v>0</v>
          </cell>
          <cell r="CU41">
            <v>0</v>
          </cell>
          <cell r="CV41">
            <v>0</v>
          </cell>
          <cell r="CX41">
            <v>15075</v>
          </cell>
          <cell r="CY41">
            <v>0</v>
          </cell>
          <cell r="CZ41">
            <v>0</v>
          </cell>
          <cell r="DA41">
            <v>0</v>
          </cell>
          <cell r="DB41">
            <v>168854</v>
          </cell>
          <cell r="DC41">
            <v>6758845</v>
          </cell>
          <cell r="DD41">
            <v>80378.039999999994</v>
          </cell>
          <cell r="DE41">
            <v>225138</v>
          </cell>
          <cell r="DF41">
            <v>58.3</v>
          </cell>
          <cell r="DH41">
            <v>58.2</v>
          </cell>
          <cell r="DI41">
            <v>9.9999999999994316E-2</v>
          </cell>
          <cell r="DJ41">
            <v>58.3</v>
          </cell>
          <cell r="DK41">
            <v>58.2</v>
          </cell>
          <cell r="DL41">
            <v>9.9999999999994316E-2</v>
          </cell>
          <cell r="DM41">
            <v>0</v>
          </cell>
          <cell r="DN41">
            <v>0</v>
          </cell>
          <cell r="DO41">
            <v>525</v>
          </cell>
          <cell r="DP41">
            <v>19.516728624535318</v>
          </cell>
        </row>
        <row r="42">
          <cell r="A42">
            <v>413</v>
          </cell>
          <cell r="B42" t="str">
            <v>Hart</v>
          </cell>
          <cell r="C42" t="str">
            <v>MS</v>
          </cell>
          <cell r="D42">
            <v>8</v>
          </cell>
          <cell r="E42">
            <v>475</v>
          </cell>
          <cell r="F42">
            <v>0.78300000000000003</v>
          </cell>
          <cell r="G42">
            <v>372</v>
          </cell>
          <cell r="H42">
            <v>1</v>
          </cell>
          <cell r="I42">
            <v>1</v>
          </cell>
          <cell r="J42">
            <v>1.6</v>
          </cell>
          <cell r="K42">
            <v>1.2</v>
          </cell>
          <cell r="M42">
            <v>1</v>
          </cell>
          <cell r="N42">
            <v>1</v>
          </cell>
          <cell r="O42">
            <v>1.2</v>
          </cell>
          <cell r="Q42">
            <v>1</v>
          </cell>
          <cell r="S42">
            <v>1</v>
          </cell>
          <cell r="T42">
            <v>1</v>
          </cell>
          <cell r="U42">
            <v>5</v>
          </cell>
          <cell r="V42">
            <v>1</v>
          </cell>
          <cell r="AD42">
            <v>21.6</v>
          </cell>
          <cell r="AF42">
            <v>1</v>
          </cell>
          <cell r="AG42">
            <v>4</v>
          </cell>
          <cell r="AH42">
            <v>10</v>
          </cell>
          <cell r="AI42">
            <v>4</v>
          </cell>
          <cell r="AJ42">
            <v>2</v>
          </cell>
          <cell r="AM42">
            <v>0.27</v>
          </cell>
          <cell r="AQ42">
            <v>4</v>
          </cell>
          <cell r="AR42">
            <v>4</v>
          </cell>
          <cell r="AS42">
            <v>1</v>
          </cell>
          <cell r="AT42">
            <v>0</v>
          </cell>
          <cell r="AV42">
            <v>27200</v>
          </cell>
          <cell r="AW42">
            <v>215379.69</v>
          </cell>
          <cell r="AX42">
            <v>0</v>
          </cell>
          <cell r="AY42">
            <v>0</v>
          </cell>
          <cell r="BB42">
            <v>1</v>
          </cell>
          <cell r="BG42">
            <v>0</v>
          </cell>
          <cell r="BH42">
            <v>0</v>
          </cell>
          <cell r="BI42">
            <v>0</v>
          </cell>
          <cell r="BP42">
            <v>3</v>
          </cell>
          <cell r="BR42">
            <v>23000</v>
          </cell>
          <cell r="BS42">
            <v>0</v>
          </cell>
          <cell r="BT42">
            <v>367239</v>
          </cell>
          <cell r="BU42">
            <v>100000</v>
          </cell>
          <cell r="BW42">
            <v>0</v>
          </cell>
          <cell r="BX42">
            <v>14935</v>
          </cell>
          <cell r="BY42">
            <v>4370</v>
          </cell>
          <cell r="BZ42">
            <v>4750</v>
          </cell>
          <cell r="CA42">
            <v>4750</v>
          </cell>
          <cell r="CB42">
            <v>5463</v>
          </cell>
          <cell r="CC42">
            <v>9500</v>
          </cell>
          <cell r="CF42">
            <v>0</v>
          </cell>
          <cell r="CG42">
            <v>0</v>
          </cell>
          <cell r="CJ42">
            <v>0</v>
          </cell>
          <cell r="CK42">
            <v>0</v>
          </cell>
          <cell r="CL42">
            <v>47500</v>
          </cell>
          <cell r="CM42">
            <v>104510</v>
          </cell>
          <cell r="CN42">
            <v>6985</v>
          </cell>
          <cell r="CO42">
            <v>0</v>
          </cell>
          <cell r="CP42">
            <v>0</v>
          </cell>
          <cell r="CQ42">
            <v>0</v>
          </cell>
          <cell r="CR42">
            <v>0</v>
          </cell>
          <cell r="CS42">
            <v>0</v>
          </cell>
          <cell r="CT42">
            <v>0</v>
          </cell>
          <cell r="CU42">
            <v>0</v>
          </cell>
          <cell r="CV42">
            <v>0</v>
          </cell>
          <cell r="CX42">
            <v>64125</v>
          </cell>
          <cell r="CY42">
            <v>0</v>
          </cell>
          <cell r="CZ42">
            <v>0</v>
          </cell>
          <cell r="DA42">
            <v>0</v>
          </cell>
          <cell r="DB42">
            <v>0</v>
          </cell>
          <cell r="DC42">
            <v>7428070.6900000004</v>
          </cell>
          <cell r="DD42">
            <v>210552.37</v>
          </cell>
          <cell r="DE42">
            <v>225138</v>
          </cell>
          <cell r="DF42">
            <v>72.87</v>
          </cell>
          <cell r="DH42">
            <v>69.718182266887993</v>
          </cell>
          <cell r="DI42">
            <v>3.1518177331120114</v>
          </cell>
          <cell r="DJ42">
            <v>63.870000000000005</v>
          </cell>
          <cell r="DK42">
            <v>62.718182266887993</v>
          </cell>
          <cell r="DL42">
            <v>1.1518177331120114</v>
          </cell>
          <cell r="DM42">
            <v>0</v>
          </cell>
          <cell r="DN42">
            <v>9</v>
          </cell>
          <cell r="DO42">
            <v>475</v>
          </cell>
          <cell r="DP42">
            <v>19.308943089430894</v>
          </cell>
        </row>
        <row r="43">
          <cell r="A43">
            <v>258</v>
          </cell>
          <cell r="B43" t="str">
            <v>Hearst</v>
          </cell>
          <cell r="C43" t="str">
            <v>ES</v>
          </cell>
          <cell r="D43">
            <v>3</v>
          </cell>
          <cell r="E43">
            <v>354</v>
          </cell>
          <cell r="F43">
            <v>6.5000000000000002E-2</v>
          </cell>
          <cell r="G43">
            <v>23</v>
          </cell>
          <cell r="H43">
            <v>1</v>
          </cell>
          <cell r="I43">
            <v>1</v>
          </cell>
          <cell r="J43">
            <v>0.9</v>
          </cell>
          <cell r="M43">
            <v>1</v>
          </cell>
          <cell r="N43">
            <v>1</v>
          </cell>
          <cell r="S43">
            <v>1</v>
          </cell>
          <cell r="T43">
            <v>1</v>
          </cell>
          <cell r="U43">
            <v>2</v>
          </cell>
          <cell r="V43">
            <v>1</v>
          </cell>
          <cell r="W43">
            <v>3</v>
          </cell>
          <cell r="AA43">
            <v>2</v>
          </cell>
          <cell r="AB43">
            <v>2</v>
          </cell>
          <cell r="AC43">
            <v>3</v>
          </cell>
          <cell r="AD43">
            <v>16</v>
          </cell>
          <cell r="AF43">
            <v>1</v>
          </cell>
          <cell r="AG43">
            <v>1</v>
          </cell>
          <cell r="AH43">
            <v>6</v>
          </cell>
          <cell r="AI43">
            <v>6</v>
          </cell>
          <cell r="AL43">
            <v>4</v>
          </cell>
          <cell r="AT43">
            <v>0</v>
          </cell>
          <cell r="AV43">
            <v>0</v>
          </cell>
          <cell r="AW43">
            <v>0</v>
          </cell>
          <cell r="AX43">
            <v>8850</v>
          </cell>
          <cell r="AY43">
            <v>0</v>
          </cell>
          <cell r="BG43">
            <v>0</v>
          </cell>
          <cell r="BH43">
            <v>0</v>
          </cell>
          <cell r="BI43">
            <v>0</v>
          </cell>
          <cell r="BR43">
            <v>0</v>
          </cell>
          <cell r="BS43">
            <v>0</v>
          </cell>
          <cell r="BT43">
            <v>55922</v>
          </cell>
          <cell r="BU43">
            <v>0</v>
          </cell>
          <cell r="BW43">
            <v>0</v>
          </cell>
          <cell r="BX43">
            <v>0</v>
          </cell>
          <cell r="BY43">
            <v>2036</v>
          </cell>
          <cell r="BZ43">
            <v>1770</v>
          </cell>
          <cell r="CA43">
            <v>1770</v>
          </cell>
          <cell r="CB43">
            <v>2036</v>
          </cell>
          <cell r="CC43">
            <v>7080</v>
          </cell>
          <cell r="CF43">
            <v>0</v>
          </cell>
          <cell r="CG43">
            <v>0</v>
          </cell>
          <cell r="CJ43">
            <v>0</v>
          </cell>
          <cell r="CK43">
            <v>0</v>
          </cell>
          <cell r="CL43">
            <v>35400</v>
          </cell>
          <cell r="CM43">
            <v>81897</v>
          </cell>
          <cell r="CN43">
            <v>3351</v>
          </cell>
          <cell r="CO43">
            <v>0</v>
          </cell>
          <cell r="CP43">
            <v>0</v>
          </cell>
          <cell r="CQ43">
            <v>0</v>
          </cell>
          <cell r="CR43">
            <v>0</v>
          </cell>
          <cell r="CS43">
            <v>0</v>
          </cell>
          <cell r="CT43">
            <v>0</v>
          </cell>
          <cell r="CU43">
            <v>0</v>
          </cell>
          <cell r="CV43">
            <v>0</v>
          </cell>
          <cell r="CX43">
            <v>3325</v>
          </cell>
          <cell r="CY43">
            <v>0</v>
          </cell>
          <cell r="CZ43">
            <v>0</v>
          </cell>
          <cell r="DA43">
            <v>0</v>
          </cell>
          <cell r="DB43">
            <v>0</v>
          </cell>
          <cell r="DC43">
            <v>5290195</v>
          </cell>
          <cell r="DD43">
            <v>35794.639999999999</v>
          </cell>
          <cell r="DE43">
            <v>112569</v>
          </cell>
          <cell r="DF43">
            <v>53.9</v>
          </cell>
          <cell r="DH43">
            <v>52.9</v>
          </cell>
          <cell r="DI43">
            <v>1</v>
          </cell>
          <cell r="DJ43">
            <v>53.9</v>
          </cell>
          <cell r="DK43">
            <v>52.9</v>
          </cell>
          <cell r="DL43">
            <v>1</v>
          </cell>
          <cell r="DM43">
            <v>0</v>
          </cell>
          <cell r="DN43">
            <v>0</v>
          </cell>
          <cell r="DO43">
            <v>310</v>
          </cell>
          <cell r="DP43">
            <v>19.375</v>
          </cell>
        </row>
        <row r="44">
          <cell r="A44">
            <v>249</v>
          </cell>
          <cell r="B44" t="str">
            <v>Hendley</v>
          </cell>
          <cell r="C44" t="str">
            <v>ES</v>
          </cell>
          <cell r="D44">
            <v>8</v>
          </cell>
          <cell r="E44">
            <v>310</v>
          </cell>
          <cell r="F44">
            <v>0.88700000000000001</v>
          </cell>
          <cell r="G44">
            <v>275</v>
          </cell>
          <cell r="H44">
            <v>1</v>
          </cell>
          <cell r="I44">
            <v>1</v>
          </cell>
          <cell r="J44">
            <v>0.8</v>
          </cell>
          <cell r="M44">
            <v>1</v>
          </cell>
          <cell r="N44">
            <v>1</v>
          </cell>
          <cell r="S44">
            <v>1</v>
          </cell>
          <cell r="T44">
            <v>1</v>
          </cell>
          <cell r="U44">
            <v>2</v>
          </cell>
          <cell r="V44">
            <v>1</v>
          </cell>
          <cell r="W44">
            <v>3</v>
          </cell>
          <cell r="Y44">
            <v>2</v>
          </cell>
          <cell r="AA44">
            <v>2</v>
          </cell>
          <cell r="AB44">
            <v>4</v>
          </cell>
          <cell r="AC44">
            <v>2</v>
          </cell>
          <cell r="AD44">
            <v>13</v>
          </cell>
          <cell r="AF44">
            <v>1</v>
          </cell>
          <cell r="AG44">
            <v>1</v>
          </cell>
          <cell r="AH44">
            <v>4</v>
          </cell>
          <cell r="AM44">
            <v>0.05</v>
          </cell>
          <cell r="AQ44">
            <v>6</v>
          </cell>
          <cell r="AR44">
            <v>6</v>
          </cell>
          <cell r="AS44">
            <v>1</v>
          </cell>
          <cell r="AT44">
            <v>0</v>
          </cell>
          <cell r="AV44">
            <v>40800</v>
          </cell>
          <cell r="AW44">
            <v>140565.87</v>
          </cell>
          <cell r="AX44">
            <v>0</v>
          </cell>
          <cell r="AY44">
            <v>0</v>
          </cell>
          <cell r="BG44">
            <v>0</v>
          </cell>
          <cell r="BH44">
            <v>0</v>
          </cell>
          <cell r="BI44">
            <v>0</v>
          </cell>
          <cell r="BR44">
            <v>0</v>
          </cell>
          <cell r="BS44">
            <v>0</v>
          </cell>
          <cell r="BT44">
            <v>111844</v>
          </cell>
          <cell r="BU44">
            <v>0</v>
          </cell>
          <cell r="BW44">
            <v>0</v>
          </cell>
          <cell r="BX44">
            <v>11027</v>
          </cell>
          <cell r="BY44">
            <v>1783</v>
          </cell>
          <cell r="BZ44">
            <v>1550</v>
          </cell>
          <cell r="CA44">
            <v>1550</v>
          </cell>
          <cell r="CB44">
            <v>1783</v>
          </cell>
          <cell r="CC44">
            <v>6200</v>
          </cell>
          <cell r="CF44">
            <v>0</v>
          </cell>
          <cell r="CG44">
            <v>0</v>
          </cell>
          <cell r="CJ44">
            <v>0</v>
          </cell>
          <cell r="CK44">
            <v>0</v>
          </cell>
          <cell r="CL44">
            <v>31000</v>
          </cell>
          <cell r="CM44">
            <v>66023</v>
          </cell>
          <cell r="CN44">
            <v>4825</v>
          </cell>
          <cell r="CO44">
            <v>0</v>
          </cell>
          <cell r="CP44">
            <v>0</v>
          </cell>
          <cell r="CQ44">
            <v>0</v>
          </cell>
          <cell r="CR44">
            <v>0</v>
          </cell>
          <cell r="CS44">
            <v>0</v>
          </cell>
          <cell r="CT44">
            <v>0</v>
          </cell>
          <cell r="CU44">
            <v>13859</v>
          </cell>
          <cell r="CV44">
            <v>0</v>
          </cell>
          <cell r="CX44">
            <v>38625</v>
          </cell>
          <cell r="CY44">
            <v>0</v>
          </cell>
          <cell r="CZ44">
            <v>690843</v>
          </cell>
          <cell r="DA44">
            <v>475000</v>
          </cell>
          <cell r="DB44">
            <v>110891</v>
          </cell>
          <cell r="DC44">
            <v>5900478.8700000001</v>
          </cell>
          <cell r="DD44">
            <v>206943.12</v>
          </cell>
          <cell r="DE44">
            <v>112569</v>
          </cell>
          <cell r="DF44">
            <v>54.849999999999994</v>
          </cell>
          <cell r="DH44">
            <v>54.990909090909092</v>
          </cell>
          <cell r="DI44">
            <v>-0.14090909090909776</v>
          </cell>
          <cell r="DJ44">
            <v>41.849999999999994</v>
          </cell>
          <cell r="DK44">
            <v>45.990909090909092</v>
          </cell>
          <cell r="DL44">
            <v>-4.1409090909090978</v>
          </cell>
          <cell r="DM44">
            <v>0</v>
          </cell>
          <cell r="DN44">
            <v>13</v>
          </cell>
          <cell r="DO44">
            <v>250</v>
          </cell>
          <cell r="DP44">
            <v>19.23076923076923</v>
          </cell>
        </row>
        <row r="45">
          <cell r="A45">
            <v>251</v>
          </cell>
          <cell r="B45" t="str">
            <v>Houston</v>
          </cell>
          <cell r="C45" t="str">
            <v>ES</v>
          </cell>
          <cell r="D45">
            <v>7</v>
          </cell>
          <cell r="E45">
            <v>282</v>
          </cell>
          <cell r="F45">
            <v>0.71599999999999997</v>
          </cell>
          <cell r="G45">
            <v>202</v>
          </cell>
          <cell r="H45">
            <v>1</v>
          </cell>
          <cell r="I45">
            <v>1</v>
          </cell>
          <cell r="M45">
            <v>0.5</v>
          </cell>
          <cell r="N45">
            <v>1</v>
          </cell>
          <cell r="S45">
            <v>1</v>
          </cell>
          <cell r="T45">
            <v>1</v>
          </cell>
          <cell r="U45">
            <v>1</v>
          </cell>
          <cell r="V45">
            <v>0.5</v>
          </cell>
          <cell r="W45">
            <v>3</v>
          </cell>
          <cell r="Y45">
            <v>2</v>
          </cell>
          <cell r="AA45">
            <v>2</v>
          </cell>
          <cell r="AB45">
            <v>4</v>
          </cell>
          <cell r="AC45">
            <v>2</v>
          </cell>
          <cell r="AD45">
            <v>12</v>
          </cell>
          <cell r="AF45">
            <v>1</v>
          </cell>
          <cell r="AG45">
            <v>1</v>
          </cell>
          <cell r="AH45">
            <v>9</v>
          </cell>
          <cell r="AI45">
            <v>12</v>
          </cell>
          <cell r="AK45">
            <v>1</v>
          </cell>
          <cell r="AM45">
            <v>0.18</v>
          </cell>
          <cell r="AQ45">
            <v>5</v>
          </cell>
          <cell r="AR45">
            <v>5</v>
          </cell>
          <cell r="AS45">
            <v>1</v>
          </cell>
          <cell r="AT45">
            <v>0</v>
          </cell>
          <cell r="AV45">
            <v>40800</v>
          </cell>
          <cell r="AW45">
            <v>127869.3</v>
          </cell>
          <cell r="AX45">
            <v>0</v>
          </cell>
          <cell r="AY45">
            <v>0</v>
          </cell>
          <cell r="BG45">
            <v>0</v>
          </cell>
          <cell r="BH45">
            <v>0</v>
          </cell>
          <cell r="BI45">
            <v>0</v>
          </cell>
          <cell r="BR45">
            <v>0</v>
          </cell>
          <cell r="BS45">
            <v>0</v>
          </cell>
          <cell r="BT45">
            <v>111844</v>
          </cell>
          <cell r="BU45">
            <v>0</v>
          </cell>
          <cell r="BW45">
            <v>0</v>
          </cell>
          <cell r="BX45">
            <v>4044</v>
          </cell>
          <cell r="BY45">
            <v>1622</v>
          </cell>
          <cell r="BZ45">
            <v>1410</v>
          </cell>
          <cell r="CA45">
            <v>1410</v>
          </cell>
          <cell r="CB45">
            <v>1622</v>
          </cell>
          <cell r="CC45">
            <v>5640</v>
          </cell>
          <cell r="CF45">
            <v>0</v>
          </cell>
          <cell r="CG45">
            <v>0</v>
          </cell>
          <cell r="CJ45">
            <v>0</v>
          </cell>
          <cell r="CK45">
            <v>0</v>
          </cell>
          <cell r="CL45">
            <v>28200</v>
          </cell>
          <cell r="CM45">
            <v>78179</v>
          </cell>
          <cell r="CN45">
            <v>4472</v>
          </cell>
          <cell r="CO45">
            <v>0</v>
          </cell>
          <cell r="CP45">
            <v>0</v>
          </cell>
          <cell r="CQ45">
            <v>0</v>
          </cell>
          <cell r="CR45">
            <v>0</v>
          </cell>
          <cell r="CS45">
            <v>0</v>
          </cell>
          <cell r="CT45">
            <v>0</v>
          </cell>
          <cell r="CU45">
            <v>0</v>
          </cell>
          <cell r="CV45">
            <v>0</v>
          </cell>
          <cell r="CX45">
            <v>17225</v>
          </cell>
          <cell r="CY45">
            <v>0</v>
          </cell>
          <cell r="CZ45">
            <v>0</v>
          </cell>
          <cell r="DA45">
            <v>0</v>
          </cell>
          <cell r="DB45">
            <v>156529</v>
          </cell>
          <cell r="DC45">
            <v>5473888.2999999998</v>
          </cell>
          <cell r="DD45">
            <v>215399.28</v>
          </cell>
          <cell r="DE45">
            <v>167583.5</v>
          </cell>
          <cell r="DF45">
            <v>67.180000000000007</v>
          </cell>
          <cell r="DH45">
            <v>64</v>
          </cell>
          <cell r="DI45">
            <v>3.1800000000000068</v>
          </cell>
          <cell r="DJ45">
            <v>56.18</v>
          </cell>
          <cell r="DK45">
            <v>57</v>
          </cell>
          <cell r="DL45">
            <v>-0.82000000000000028</v>
          </cell>
          <cell r="DM45">
            <v>0</v>
          </cell>
          <cell r="DN45">
            <v>11</v>
          </cell>
          <cell r="DO45">
            <v>216</v>
          </cell>
          <cell r="DP45">
            <v>18</v>
          </cell>
        </row>
        <row r="46">
          <cell r="A46">
            <v>252</v>
          </cell>
          <cell r="B46" t="str">
            <v>Hyde-Addison</v>
          </cell>
          <cell r="C46" t="str">
            <v>ES</v>
          </cell>
          <cell r="D46">
            <v>2</v>
          </cell>
          <cell r="E46">
            <v>404</v>
          </cell>
          <cell r="F46">
            <v>0.111</v>
          </cell>
          <cell r="G46">
            <v>45</v>
          </cell>
          <cell r="H46">
            <v>1</v>
          </cell>
          <cell r="I46">
            <v>1</v>
          </cell>
          <cell r="J46">
            <v>1</v>
          </cell>
          <cell r="M46">
            <v>1</v>
          </cell>
          <cell r="N46">
            <v>1</v>
          </cell>
          <cell r="O46">
            <v>1</v>
          </cell>
          <cell r="S46">
            <v>1</v>
          </cell>
          <cell r="T46">
            <v>1</v>
          </cell>
          <cell r="U46">
            <v>2</v>
          </cell>
          <cell r="V46">
            <v>1</v>
          </cell>
          <cell r="W46">
            <v>4.5</v>
          </cell>
          <cell r="Y46">
            <v>1</v>
          </cell>
          <cell r="AA46">
            <v>2</v>
          </cell>
          <cell r="AB46">
            <v>3</v>
          </cell>
          <cell r="AC46">
            <v>3</v>
          </cell>
          <cell r="AD46">
            <v>17</v>
          </cell>
          <cell r="AF46">
            <v>1</v>
          </cell>
          <cell r="AG46">
            <v>1</v>
          </cell>
          <cell r="AH46">
            <v>3</v>
          </cell>
          <cell r="AL46">
            <v>2</v>
          </cell>
          <cell r="AT46">
            <v>0</v>
          </cell>
          <cell r="AV46">
            <v>0</v>
          </cell>
          <cell r="AW46">
            <v>0</v>
          </cell>
          <cell r="AX46">
            <v>10100</v>
          </cell>
          <cell r="AY46">
            <v>0</v>
          </cell>
          <cell r="BG46">
            <v>0</v>
          </cell>
          <cell r="BH46">
            <v>0</v>
          </cell>
          <cell r="BI46">
            <v>0</v>
          </cell>
          <cell r="BR46">
            <v>0</v>
          </cell>
          <cell r="BS46">
            <v>0</v>
          </cell>
          <cell r="BT46">
            <v>111844</v>
          </cell>
          <cell r="BU46">
            <v>0</v>
          </cell>
          <cell r="BW46">
            <v>0</v>
          </cell>
          <cell r="BX46">
            <v>0</v>
          </cell>
          <cell r="BY46">
            <v>2323</v>
          </cell>
          <cell r="BZ46">
            <v>2020</v>
          </cell>
          <cell r="CA46">
            <v>2020</v>
          </cell>
          <cell r="CB46">
            <v>2323</v>
          </cell>
          <cell r="CC46">
            <v>8080</v>
          </cell>
          <cell r="CF46">
            <v>0</v>
          </cell>
          <cell r="CG46">
            <v>0</v>
          </cell>
          <cell r="CJ46">
            <v>0</v>
          </cell>
          <cell r="CK46">
            <v>0</v>
          </cell>
          <cell r="CL46">
            <v>40400</v>
          </cell>
          <cell r="CM46">
            <v>77228</v>
          </cell>
          <cell r="CN46">
            <v>3471</v>
          </cell>
          <cell r="CO46">
            <v>0</v>
          </cell>
          <cell r="CP46">
            <v>0</v>
          </cell>
          <cell r="CQ46">
            <v>0</v>
          </cell>
          <cell r="CR46">
            <v>0</v>
          </cell>
          <cell r="CS46">
            <v>0</v>
          </cell>
          <cell r="CT46">
            <v>0</v>
          </cell>
          <cell r="CU46">
            <v>0</v>
          </cell>
          <cell r="CV46">
            <v>0</v>
          </cell>
          <cell r="CX46">
            <v>4375</v>
          </cell>
          <cell r="CY46">
            <v>0</v>
          </cell>
          <cell r="CZ46">
            <v>0</v>
          </cell>
          <cell r="DA46">
            <v>0</v>
          </cell>
          <cell r="DB46">
            <v>0</v>
          </cell>
          <cell r="DC46">
            <v>5060941</v>
          </cell>
          <cell r="DD46">
            <v>62800.22</v>
          </cell>
          <cell r="DE46">
            <v>37488</v>
          </cell>
          <cell r="DF46">
            <v>48.5</v>
          </cell>
          <cell r="DH46">
            <v>47</v>
          </cell>
          <cell r="DI46">
            <v>1.5</v>
          </cell>
          <cell r="DJ46">
            <v>48.5</v>
          </cell>
          <cell r="DK46">
            <v>47</v>
          </cell>
          <cell r="DL46">
            <v>1.5</v>
          </cell>
          <cell r="DM46">
            <v>0</v>
          </cell>
          <cell r="DN46">
            <v>0</v>
          </cell>
          <cell r="DO46">
            <v>351</v>
          </cell>
          <cell r="DP46">
            <v>20.647058823529413</v>
          </cell>
        </row>
        <row r="47">
          <cell r="A47">
            <v>1071</v>
          </cell>
          <cell r="B47" t="str">
            <v>Ida B. Wells</v>
          </cell>
          <cell r="C47" t="str">
            <v>MS</v>
          </cell>
          <cell r="D47">
            <v>4</v>
          </cell>
          <cell r="E47">
            <v>551</v>
          </cell>
          <cell r="F47">
            <v>0.58299999999999996</v>
          </cell>
          <cell r="G47">
            <v>321</v>
          </cell>
          <cell r="H47">
            <v>1</v>
          </cell>
          <cell r="I47">
            <v>1</v>
          </cell>
          <cell r="J47">
            <v>1.8</v>
          </cell>
          <cell r="K47">
            <v>1.4</v>
          </cell>
          <cell r="M47">
            <v>1</v>
          </cell>
          <cell r="N47">
            <v>1</v>
          </cell>
          <cell r="O47">
            <v>1.4</v>
          </cell>
          <cell r="S47">
            <v>1</v>
          </cell>
          <cell r="T47">
            <v>1</v>
          </cell>
          <cell r="U47">
            <v>3</v>
          </cell>
          <cell r="V47">
            <v>1</v>
          </cell>
          <cell r="AD47">
            <v>25.1</v>
          </cell>
          <cell r="AF47">
            <v>1</v>
          </cell>
          <cell r="AG47">
            <v>2</v>
          </cell>
          <cell r="AH47">
            <v>10</v>
          </cell>
          <cell r="AI47">
            <v>5</v>
          </cell>
          <cell r="AL47">
            <v>8</v>
          </cell>
          <cell r="AO47">
            <v>2</v>
          </cell>
          <cell r="AT47">
            <v>0</v>
          </cell>
          <cell r="AV47">
            <v>0</v>
          </cell>
          <cell r="AW47">
            <v>182434.42</v>
          </cell>
          <cell r="AX47">
            <v>0</v>
          </cell>
          <cell r="AY47">
            <v>0</v>
          </cell>
          <cell r="BA47">
            <v>1</v>
          </cell>
          <cell r="BG47">
            <v>0</v>
          </cell>
          <cell r="BH47">
            <v>0</v>
          </cell>
          <cell r="BI47">
            <v>0</v>
          </cell>
          <cell r="BP47">
            <v>3</v>
          </cell>
          <cell r="BR47">
            <v>23000</v>
          </cell>
          <cell r="BS47">
            <v>5000</v>
          </cell>
          <cell r="BT47">
            <v>244046</v>
          </cell>
          <cell r="BU47">
            <v>100000</v>
          </cell>
          <cell r="BW47">
            <v>0</v>
          </cell>
          <cell r="BX47">
            <v>6428</v>
          </cell>
          <cell r="BY47">
            <v>5069</v>
          </cell>
          <cell r="BZ47">
            <v>5510</v>
          </cell>
          <cell r="CA47">
            <v>5510</v>
          </cell>
          <cell r="CB47">
            <v>6337</v>
          </cell>
          <cell r="CC47">
            <v>11020</v>
          </cell>
          <cell r="CF47">
            <v>0</v>
          </cell>
          <cell r="CG47">
            <v>0</v>
          </cell>
          <cell r="CJ47">
            <v>0</v>
          </cell>
          <cell r="CK47">
            <v>0</v>
          </cell>
          <cell r="CL47">
            <v>55100</v>
          </cell>
          <cell r="CM47">
            <v>121263</v>
          </cell>
          <cell r="CN47">
            <v>6463</v>
          </cell>
          <cell r="CO47">
            <v>0</v>
          </cell>
          <cell r="CP47">
            <v>0</v>
          </cell>
          <cell r="CQ47">
            <v>0</v>
          </cell>
          <cell r="CR47">
            <v>0</v>
          </cell>
          <cell r="CS47">
            <v>0</v>
          </cell>
          <cell r="CT47">
            <v>0</v>
          </cell>
          <cell r="CU47">
            <v>0</v>
          </cell>
          <cell r="CV47">
            <v>0</v>
          </cell>
          <cell r="CX47">
            <v>22430</v>
          </cell>
          <cell r="CY47">
            <v>0</v>
          </cell>
          <cell r="CZ47">
            <v>0</v>
          </cell>
          <cell r="DA47">
            <v>0</v>
          </cell>
          <cell r="DB47">
            <v>137569</v>
          </cell>
          <cell r="DC47">
            <v>8369040.4199999999</v>
          </cell>
          <cell r="DD47">
            <v>230674.73</v>
          </cell>
          <cell r="DE47">
            <v>228699</v>
          </cell>
          <cell r="DF47">
            <v>71.7</v>
          </cell>
          <cell r="DH47">
            <v>57.1</v>
          </cell>
          <cell r="DI47">
            <v>14.600000000000001</v>
          </cell>
          <cell r="DJ47">
            <v>71.7</v>
          </cell>
          <cell r="DK47">
            <v>57.1</v>
          </cell>
          <cell r="DL47">
            <v>14.600000000000001</v>
          </cell>
          <cell r="DM47">
            <v>0</v>
          </cell>
          <cell r="DN47">
            <v>0</v>
          </cell>
          <cell r="DO47">
            <v>551</v>
          </cell>
          <cell r="DP47">
            <v>19.608540925266905</v>
          </cell>
        </row>
        <row r="48">
          <cell r="A48">
            <v>950</v>
          </cell>
          <cell r="B48" t="str">
            <v>Inspiring Youth Program</v>
          </cell>
          <cell r="C48" t="str">
            <v>Alt</v>
          </cell>
          <cell r="D48">
            <v>7</v>
          </cell>
          <cell r="E48">
            <v>40</v>
          </cell>
          <cell r="F48">
            <v>0</v>
          </cell>
          <cell r="G48">
            <v>0</v>
          </cell>
          <cell r="I48">
            <v>0.5</v>
          </cell>
          <cell r="L48">
            <v>1</v>
          </cell>
          <cell r="M48">
            <v>0.5</v>
          </cell>
          <cell r="N48">
            <v>1</v>
          </cell>
          <cell r="V48">
            <v>0.5</v>
          </cell>
          <cell r="W48">
            <v>0.5</v>
          </cell>
          <cell r="AD48">
            <v>4</v>
          </cell>
          <cell r="AF48">
            <v>1</v>
          </cell>
          <cell r="AG48">
            <v>1</v>
          </cell>
          <cell r="AH48">
            <v>5</v>
          </cell>
          <cell r="AM48">
            <v>0.05</v>
          </cell>
          <cell r="AT48">
            <v>15000</v>
          </cell>
          <cell r="AV48">
            <v>0</v>
          </cell>
          <cell r="AW48">
            <v>63735.057500000003</v>
          </cell>
          <cell r="AX48">
            <v>1000</v>
          </cell>
          <cell r="AY48">
            <v>0</v>
          </cell>
          <cell r="BG48">
            <v>0</v>
          </cell>
          <cell r="BH48">
            <v>0</v>
          </cell>
          <cell r="BI48">
            <v>0</v>
          </cell>
          <cell r="BR48">
            <v>0</v>
          </cell>
          <cell r="BS48">
            <v>0</v>
          </cell>
          <cell r="BT48">
            <v>0</v>
          </cell>
          <cell r="BU48">
            <v>0</v>
          </cell>
          <cell r="BW48">
            <v>0</v>
          </cell>
          <cell r="BX48">
            <v>0</v>
          </cell>
          <cell r="BY48">
            <v>1150</v>
          </cell>
          <cell r="BZ48">
            <v>600</v>
          </cell>
          <cell r="CA48">
            <v>600</v>
          </cell>
          <cell r="CB48">
            <v>1380</v>
          </cell>
          <cell r="CC48">
            <v>800</v>
          </cell>
          <cell r="CF48">
            <v>0</v>
          </cell>
          <cell r="CG48">
            <v>0</v>
          </cell>
          <cell r="CJ48">
            <v>0</v>
          </cell>
          <cell r="CK48">
            <v>0</v>
          </cell>
          <cell r="CL48">
            <v>4000</v>
          </cell>
          <cell r="CM48">
            <v>26610</v>
          </cell>
          <cell r="CN48">
            <v>2456</v>
          </cell>
          <cell r="CO48">
            <v>3422</v>
          </cell>
          <cell r="CP48">
            <v>6000</v>
          </cell>
          <cell r="CQ48">
            <v>96092</v>
          </cell>
          <cell r="CR48">
            <v>21000</v>
          </cell>
          <cell r="CS48">
            <v>0</v>
          </cell>
          <cell r="CT48">
            <v>26072</v>
          </cell>
          <cell r="CU48">
            <v>0</v>
          </cell>
          <cell r="CV48">
            <v>0</v>
          </cell>
          <cell r="CX48">
            <v>0</v>
          </cell>
          <cell r="CY48">
            <v>0</v>
          </cell>
          <cell r="CZ48">
            <v>0</v>
          </cell>
          <cell r="DA48">
            <v>0</v>
          </cell>
          <cell r="DB48">
            <v>0</v>
          </cell>
          <cell r="DC48">
            <v>1923223.0575000001</v>
          </cell>
          <cell r="DD48">
            <v>30700</v>
          </cell>
          <cell r="DE48">
            <v>0</v>
          </cell>
          <cell r="DF48">
            <v>15.05</v>
          </cell>
          <cell r="DH48">
            <v>15.590909090909092</v>
          </cell>
          <cell r="DI48">
            <v>-0.54090909090909101</v>
          </cell>
          <cell r="DJ48">
            <v>15.05</v>
          </cell>
          <cell r="DK48">
            <v>15.590909090909092</v>
          </cell>
          <cell r="DL48">
            <v>-0.54090909090909101</v>
          </cell>
          <cell r="DM48">
            <v>0</v>
          </cell>
          <cell r="DN48">
            <v>0</v>
          </cell>
          <cell r="DP48">
            <v>0</v>
          </cell>
        </row>
        <row r="49">
          <cell r="A49">
            <v>339</v>
          </cell>
          <cell r="B49" t="str">
            <v>J.O. Wilson</v>
          </cell>
          <cell r="C49" t="str">
            <v>ES</v>
          </cell>
          <cell r="D49">
            <v>6</v>
          </cell>
          <cell r="E49">
            <v>439</v>
          </cell>
          <cell r="F49">
            <v>0.52200000000000002</v>
          </cell>
          <cell r="G49">
            <v>229</v>
          </cell>
          <cell r="H49">
            <v>1</v>
          </cell>
          <cell r="I49">
            <v>1</v>
          </cell>
          <cell r="J49">
            <v>1.1000000000000001</v>
          </cell>
          <cell r="M49">
            <v>1</v>
          </cell>
          <cell r="N49">
            <v>1</v>
          </cell>
          <cell r="O49">
            <v>1.1000000000000001</v>
          </cell>
          <cell r="S49">
            <v>1</v>
          </cell>
          <cell r="T49">
            <v>1</v>
          </cell>
          <cell r="U49">
            <v>2</v>
          </cell>
          <cell r="V49">
            <v>1</v>
          </cell>
          <cell r="W49">
            <v>4.5</v>
          </cell>
          <cell r="Y49">
            <v>3</v>
          </cell>
          <cell r="Z49">
            <v>1</v>
          </cell>
          <cell r="AA49">
            <v>3</v>
          </cell>
          <cell r="AB49">
            <v>7</v>
          </cell>
          <cell r="AC49">
            <v>3</v>
          </cell>
          <cell r="AD49">
            <v>18</v>
          </cell>
          <cell r="AF49">
            <v>1</v>
          </cell>
          <cell r="AG49">
            <v>2</v>
          </cell>
          <cell r="AH49">
            <v>10</v>
          </cell>
          <cell r="AI49">
            <v>5</v>
          </cell>
          <cell r="AL49">
            <v>1</v>
          </cell>
          <cell r="AQ49">
            <v>5</v>
          </cell>
          <cell r="AR49">
            <v>5</v>
          </cell>
          <cell r="AS49">
            <v>1</v>
          </cell>
          <cell r="AT49">
            <v>0</v>
          </cell>
          <cell r="AV49">
            <v>51000</v>
          </cell>
          <cell r="AW49">
            <v>199058.65</v>
          </cell>
          <cell r="AX49">
            <v>0</v>
          </cell>
          <cell r="AY49">
            <v>0</v>
          </cell>
          <cell r="BC49">
            <v>1</v>
          </cell>
          <cell r="BG49">
            <v>0</v>
          </cell>
          <cell r="BH49">
            <v>0</v>
          </cell>
          <cell r="BI49">
            <v>0</v>
          </cell>
          <cell r="BR49">
            <v>0</v>
          </cell>
          <cell r="BS49">
            <v>0</v>
          </cell>
          <cell r="BT49">
            <v>111844</v>
          </cell>
          <cell r="BU49">
            <v>0</v>
          </cell>
          <cell r="BW49">
            <v>0</v>
          </cell>
          <cell r="BX49">
            <v>4586</v>
          </cell>
          <cell r="BY49">
            <v>2524</v>
          </cell>
          <cell r="BZ49">
            <v>2195</v>
          </cell>
          <cell r="CA49">
            <v>2195</v>
          </cell>
          <cell r="CB49">
            <v>2524</v>
          </cell>
          <cell r="CC49">
            <v>8780</v>
          </cell>
          <cell r="CF49">
            <v>0</v>
          </cell>
          <cell r="CG49">
            <v>0</v>
          </cell>
          <cell r="CJ49">
            <v>0</v>
          </cell>
          <cell r="CK49">
            <v>0</v>
          </cell>
          <cell r="CL49">
            <v>43900</v>
          </cell>
          <cell r="CM49">
            <v>104742</v>
          </cell>
          <cell r="CN49">
            <v>6688</v>
          </cell>
          <cell r="CO49">
            <v>0</v>
          </cell>
          <cell r="CP49">
            <v>0</v>
          </cell>
          <cell r="CQ49">
            <v>0</v>
          </cell>
          <cell r="CR49">
            <v>0</v>
          </cell>
          <cell r="CS49">
            <v>0</v>
          </cell>
          <cell r="CT49">
            <v>0</v>
          </cell>
          <cell r="CU49">
            <v>0</v>
          </cell>
          <cell r="CV49">
            <v>0</v>
          </cell>
          <cell r="CX49">
            <v>21725</v>
          </cell>
          <cell r="CY49">
            <v>0</v>
          </cell>
          <cell r="CZ49">
            <v>0</v>
          </cell>
          <cell r="DA49">
            <v>0</v>
          </cell>
          <cell r="DB49">
            <v>112569</v>
          </cell>
          <cell r="DC49">
            <v>7319793.6500000004</v>
          </cell>
          <cell r="DD49">
            <v>168767.02</v>
          </cell>
          <cell r="DE49">
            <v>70306</v>
          </cell>
          <cell r="DF49">
            <v>81.7</v>
          </cell>
          <cell r="DH49">
            <v>76.700000000000017</v>
          </cell>
          <cell r="DI49">
            <v>4.9999999999999858</v>
          </cell>
          <cell r="DJ49">
            <v>70.7</v>
          </cell>
          <cell r="DK49">
            <v>70.700000000000017</v>
          </cell>
          <cell r="DL49">
            <v>0</v>
          </cell>
          <cell r="DM49">
            <v>0</v>
          </cell>
          <cell r="DN49">
            <v>11</v>
          </cell>
          <cell r="DO49">
            <v>333</v>
          </cell>
          <cell r="DP49">
            <v>18.5</v>
          </cell>
        </row>
        <row r="50">
          <cell r="A50">
            <v>254</v>
          </cell>
          <cell r="B50" t="str">
            <v>Janney</v>
          </cell>
          <cell r="C50" t="str">
            <v>ES</v>
          </cell>
          <cell r="D50">
            <v>3</v>
          </cell>
          <cell r="E50">
            <v>718</v>
          </cell>
          <cell r="F50">
            <v>2.5999999999999999E-2</v>
          </cell>
          <cell r="G50">
            <v>19</v>
          </cell>
          <cell r="H50">
            <v>1</v>
          </cell>
          <cell r="I50">
            <v>1</v>
          </cell>
          <cell r="J50">
            <v>1.8</v>
          </cell>
          <cell r="M50">
            <v>1</v>
          </cell>
          <cell r="N50">
            <v>1</v>
          </cell>
          <cell r="O50">
            <v>1.8</v>
          </cell>
          <cell r="S50">
            <v>1</v>
          </cell>
          <cell r="T50">
            <v>1</v>
          </cell>
          <cell r="U50">
            <v>3</v>
          </cell>
          <cell r="V50">
            <v>1</v>
          </cell>
          <cell r="W50">
            <v>5.5</v>
          </cell>
          <cell r="X50">
            <v>1</v>
          </cell>
          <cell r="AA50">
            <v>3</v>
          </cell>
          <cell r="AB50">
            <v>3</v>
          </cell>
          <cell r="AC50">
            <v>5</v>
          </cell>
          <cell r="AD50">
            <v>31</v>
          </cell>
          <cell r="AF50">
            <v>1</v>
          </cell>
          <cell r="AG50">
            <v>1</v>
          </cell>
          <cell r="AH50">
            <v>6</v>
          </cell>
          <cell r="AL50">
            <v>1</v>
          </cell>
          <cell r="AT50">
            <v>0</v>
          </cell>
          <cell r="AV50">
            <v>0</v>
          </cell>
          <cell r="AW50">
            <v>0</v>
          </cell>
          <cell r="AX50">
            <v>17950</v>
          </cell>
          <cell r="AY50">
            <v>0</v>
          </cell>
          <cell r="BG50">
            <v>0</v>
          </cell>
          <cell r="BH50">
            <v>0</v>
          </cell>
          <cell r="BI50">
            <v>0</v>
          </cell>
          <cell r="BR50">
            <v>0</v>
          </cell>
          <cell r="BS50">
            <v>0</v>
          </cell>
          <cell r="BT50">
            <v>111844</v>
          </cell>
          <cell r="BU50">
            <v>0</v>
          </cell>
          <cell r="BW50">
            <v>0</v>
          </cell>
          <cell r="BX50">
            <v>0</v>
          </cell>
          <cell r="BY50">
            <v>4129</v>
          </cell>
          <cell r="BZ50">
            <v>3590</v>
          </cell>
          <cell r="CA50">
            <v>3590</v>
          </cell>
          <cell r="CB50">
            <v>4129</v>
          </cell>
          <cell r="CC50">
            <v>14360</v>
          </cell>
          <cell r="CF50">
            <v>0</v>
          </cell>
          <cell r="CG50">
            <v>0</v>
          </cell>
          <cell r="CJ50">
            <v>0</v>
          </cell>
          <cell r="CK50">
            <v>0</v>
          </cell>
          <cell r="CL50">
            <v>71800</v>
          </cell>
          <cell r="CM50">
            <v>114541</v>
          </cell>
          <cell r="CN50">
            <v>6653</v>
          </cell>
          <cell r="CO50">
            <v>0</v>
          </cell>
          <cell r="CP50">
            <v>0</v>
          </cell>
          <cell r="CQ50">
            <v>0</v>
          </cell>
          <cell r="CR50">
            <v>0</v>
          </cell>
          <cell r="CS50">
            <v>18249</v>
          </cell>
          <cell r="CT50">
            <v>0</v>
          </cell>
          <cell r="CU50">
            <v>0</v>
          </cell>
          <cell r="CV50">
            <v>0</v>
          </cell>
          <cell r="CX50">
            <v>1400</v>
          </cell>
          <cell r="CY50">
            <v>0</v>
          </cell>
          <cell r="CZ50">
            <v>15695</v>
          </cell>
          <cell r="DA50">
            <v>225138</v>
          </cell>
          <cell r="DB50">
            <v>225138</v>
          </cell>
          <cell r="DC50">
            <v>7952510</v>
          </cell>
          <cell r="DD50">
            <v>53537.33</v>
          </cell>
          <cell r="DE50">
            <v>0</v>
          </cell>
          <cell r="DF50">
            <v>71.099999999999994</v>
          </cell>
          <cell r="DH50">
            <v>71.800000000000011</v>
          </cell>
          <cell r="DI50">
            <v>-0.70000000000001705</v>
          </cell>
          <cell r="DJ50">
            <v>71.099999999999994</v>
          </cell>
          <cell r="DK50">
            <v>71.800000000000011</v>
          </cell>
          <cell r="DL50">
            <v>-0.70000000000001705</v>
          </cell>
          <cell r="DM50">
            <v>0</v>
          </cell>
          <cell r="DN50">
            <v>0</v>
          </cell>
          <cell r="DO50">
            <v>660</v>
          </cell>
          <cell r="DP50">
            <v>21.29032258064516</v>
          </cell>
        </row>
        <row r="51">
          <cell r="A51">
            <v>433</v>
          </cell>
          <cell r="B51" t="str">
            <v>Jefferson</v>
          </cell>
          <cell r="C51" t="str">
            <v>MS</v>
          </cell>
          <cell r="D51">
            <v>6</v>
          </cell>
          <cell r="E51">
            <v>389</v>
          </cell>
          <cell r="F51">
            <v>0.57599999999999996</v>
          </cell>
          <cell r="G51">
            <v>224</v>
          </cell>
          <cell r="H51">
            <v>1</v>
          </cell>
          <cell r="I51">
            <v>1</v>
          </cell>
          <cell r="J51">
            <v>1.3</v>
          </cell>
          <cell r="K51">
            <v>1</v>
          </cell>
          <cell r="M51">
            <v>1</v>
          </cell>
          <cell r="N51">
            <v>1</v>
          </cell>
          <cell r="S51">
            <v>1</v>
          </cell>
          <cell r="T51">
            <v>1</v>
          </cell>
          <cell r="U51">
            <v>3</v>
          </cell>
          <cell r="V51">
            <v>1</v>
          </cell>
          <cell r="AD51">
            <v>17.7</v>
          </cell>
          <cell r="AF51">
            <v>1</v>
          </cell>
          <cell r="AG51">
            <v>3</v>
          </cell>
          <cell r="AH51">
            <v>9</v>
          </cell>
          <cell r="AI51">
            <v>3</v>
          </cell>
          <cell r="AJ51">
            <v>1</v>
          </cell>
          <cell r="AM51">
            <v>0.18</v>
          </cell>
          <cell r="AQ51">
            <v>2</v>
          </cell>
          <cell r="AR51">
            <v>2</v>
          </cell>
          <cell r="AS51">
            <v>1</v>
          </cell>
          <cell r="AT51">
            <v>0</v>
          </cell>
          <cell r="AV51">
            <v>13600</v>
          </cell>
          <cell r="AW51">
            <v>176385.72</v>
          </cell>
          <cell r="AX51">
            <v>0</v>
          </cell>
          <cell r="AY51">
            <v>0</v>
          </cell>
          <cell r="BB51">
            <v>1</v>
          </cell>
          <cell r="BG51">
            <v>0</v>
          </cell>
          <cell r="BH51">
            <v>0</v>
          </cell>
          <cell r="BI51">
            <v>0</v>
          </cell>
          <cell r="BP51">
            <v>3</v>
          </cell>
          <cell r="BR51">
            <v>23000</v>
          </cell>
          <cell r="BS51">
            <v>0</v>
          </cell>
          <cell r="BT51">
            <v>244046</v>
          </cell>
          <cell r="BU51">
            <v>100000</v>
          </cell>
          <cell r="BW51">
            <v>0</v>
          </cell>
          <cell r="BX51">
            <v>4485</v>
          </cell>
          <cell r="BY51">
            <v>3579</v>
          </cell>
          <cell r="BZ51">
            <v>3890</v>
          </cell>
          <cell r="CA51">
            <v>3890</v>
          </cell>
          <cell r="CB51">
            <v>4474</v>
          </cell>
          <cell r="CC51">
            <v>7780</v>
          </cell>
          <cell r="CF51">
            <v>0</v>
          </cell>
          <cell r="CG51">
            <v>0</v>
          </cell>
          <cell r="CJ51">
            <v>0</v>
          </cell>
          <cell r="CK51">
            <v>0</v>
          </cell>
          <cell r="CL51">
            <v>38900</v>
          </cell>
          <cell r="CM51">
            <v>87318</v>
          </cell>
          <cell r="CN51">
            <v>6382</v>
          </cell>
          <cell r="CO51">
            <v>0</v>
          </cell>
          <cell r="CP51">
            <v>0</v>
          </cell>
          <cell r="CQ51">
            <v>0</v>
          </cell>
          <cell r="CR51">
            <v>0</v>
          </cell>
          <cell r="CS51">
            <v>0</v>
          </cell>
          <cell r="CT51">
            <v>0</v>
          </cell>
          <cell r="CU51">
            <v>0</v>
          </cell>
          <cell r="CV51">
            <v>0</v>
          </cell>
          <cell r="CX51">
            <v>44525</v>
          </cell>
          <cell r="CY51">
            <v>0</v>
          </cell>
          <cell r="CZ51">
            <v>0</v>
          </cell>
          <cell r="DA51">
            <v>0</v>
          </cell>
          <cell r="DB51">
            <v>0</v>
          </cell>
          <cell r="DC51">
            <v>6109288.7199999997</v>
          </cell>
          <cell r="DD51">
            <v>154739.41</v>
          </cell>
          <cell r="DE51">
            <v>0</v>
          </cell>
          <cell r="DF51">
            <v>56.18</v>
          </cell>
          <cell r="DH51">
            <v>51.636363636363633</v>
          </cell>
          <cell r="DI51">
            <v>4.5436363636363666</v>
          </cell>
          <cell r="DJ51">
            <v>51.18</v>
          </cell>
          <cell r="DK51">
            <v>46.636363636363633</v>
          </cell>
          <cell r="DL51">
            <v>4.5436363636363666</v>
          </cell>
          <cell r="DM51">
            <v>0</v>
          </cell>
          <cell r="DN51">
            <v>5</v>
          </cell>
          <cell r="DO51">
            <v>389</v>
          </cell>
          <cell r="DP51">
            <v>18.792270531400966</v>
          </cell>
        </row>
        <row r="52">
          <cell r="A52">
            <v>416</v>
          </cell>
          <cell r="B52" t="str">
            <v>Johnson, John Hayden</v>
          </cell>
          <cell r="C52" t="str">
            <v>MS</v>
          </cell>
          <cell r="D52">
            <v>8</v>
          </cell>
          <cell r="E52">
            <v>371</v>
          </cell>
          <cell r="F52">
            <v>0.79500000000000004</v>
          </cell>
          <cell r="G52">
            <v>295</v>
          </cell>
          <cell r="H52">
            <v>1</v>
          </cell>
          <cell r="I52">
            <v>1</v>
          </cell>
          <cell r="J52">
            <v>1.2</v>
          </cell>
          <cell r="K52">
            <v>1</v>
          </cell>
          <cell r="M52">
            <v>1</v>
          </cell>
          <cell r="N52">
            <v>1</v>
          </cell>
          <cell r="Q52">
            <v>1</v>
          </cell>
          <cell r="S52">
            <v>1</v>
          </cell>
          <cell r="T52">
            <v>1</v>
          </cell>
          <cell r="U52">
            <v>4</v>
          </cell>
          <cell r="V52">
            <v>1</v>
          </cell>
          <cell r="AD52">
            <v>16.8</v>
          </cell>
          <cell r="AF52">
            <v>1</v>
          </cell>
          <cell r="AG52">
            <v>2</v>
          </cell>
          <cell r="AH52">
            <v>10</v>
          </cell>
          <cell r="AI52">
            <v>6</v>
          </cell>
          <cell r="AM52">
            <v>0.09</v>
          </cell>
          <cell r="AT52">
            <v>0</v>
          </cell>
          <cell r="AV52">
            <v>0</v>
          </cell>
          <cell r="AW52">
            <v>168223.74</v>
          </cell>
          <cell r="AX52">
            <v>0</v>
          </cell>
          <cell r="AY52">
            <v>0</v>
          </cell>
          <cell r="BA52">
            <v>1</v>
          </cell>
          <cell r="BB52">
            <v>1</v>
          </cell>
          <cell r="BG52">
            <v>0</v>
          </cell>
          <cell r="BH52">
            <v>0</v>
          </cell>
          <cell r="BI52">
            <v>0</v>
          </cell>
          <cell r="BP52">
            <v>3</v>
          </cell>
          <cell r="BR52">
            <v>23000</v>
          </cell>
          <cell r="BS52">
            <v>5000</v>
          </cell>
          <cell r="BT52">
            <v>244046</v>
          </cell>
          <cell r="BU52">
            <v>100000</v>
          </cell>
          <cell r="BW52">
            <v>0</v>
          </cell>
          <cell r="BX52">
            <v>11844</v>
          </cell>
          <cell r="BY52">
            <v>3413</v>
          </cell>
          <cell r="BZ52">
            <v>3710</v>
          </cell>
          <cell r="CA52">
            <v>3710</v>
          </cell>
          <cell r="CB52">
            <v>4267</v>
          </cell>
          <cell r="CC52">
            <v>7420</v>
          </cell>
          <cell r="CF52">
            <v>0</v>
          </cell>
          <cell r="CG52">
            <v>0</v>
          </cell>
          <cell r="CJ52">
            <v>0</v>
          </cell>
          <cell r="CK52">
            <v>0</v>
          </cell>
          <cell r="CL52">
            <v>37100</v>
          </cell>
          <cell r="CM52">
            <v>89941</v>
          </cell>
          <cell r="CN52">
            <v>6695</v>
          </cell>
          <cell r="CO52">
            <v>0</v>
          </cell>
          <cell r="CP52">
            <v>0</v>
          </cell>
          <cell r="CQ52">
            <v>0</v>
          </cell>
          <cell r="CR52">
            <v>0</v>
          </cell>
          <cell r="CS52">
            <v>0</v>
          </cell>
          <cell r="CT52">
            <v>0</v>
          </cell>
          <cell r="CU52">
            <v>0</v>
          </cell>
          <cell r="CV52">
            <v>0</v>
          </cell>
          <cell r="CX52">
            <v>53250</v>
          </cell>
          <cell r="CY52">
            <v>0</v>
          </cell>
          <cell r="CZ52">
            <v>0</v>
          </cell>
          <cell r="DA52">
            <v>0</v>
          </cell>
          <cell r="DB52">
            <v>112569</v>
          </cell>
          <cell r="DC52">
            <v>6360448.7400000002</v>
          </cell>
          <cell r="DD52">
            <v>189061.03</v>
          </cell>
          <cell r="DE52">
            <v>110030</v>
          </cell>
          <cell r="DF52">
            <v>55.09</v>
          </cell>
          <cell r="DH52">
            <v>50.436364085069805</v>
          </cell>
          <cell r="DI52">
            <v>4.6536359149301987</v>
          </cell>
          <cell r="DJ52">
            <v>55.09</v>
          </cell>
          <cell r="DK52">
            <v>50.436364085069805</v>
          </cell>
          <cell r="DL52">
            <v>4.6536359149301987</v>
          </cell>
          <cell r="DM52">
            <v>0</v>
          </cell>
          <cell r="DN52">
            <v>0</v>
          </cell>
          <cell r="DO52">
            <v>371</v>
          </cell>
          <cell r="DP52">
            <v>18.737373737373737</v>
          </cell>
        </row>
        <row r="53">
          <cell r="A53">
            <v>421</v>
          </cell>
          <cell r="B53" t="str">
            <v>Kelly Miller</v>
          </cell>
          <cell r="C53" t="str">
            <v>MS</v>
          </cell>
          <cell r="D53">
            <v>7</v>
          </cell>
          <cell r="E53">
            <v>450</v>
          </cell>
          <cell r="F53">
            <v>0.69799999999999995</v>
          </cell>
          <cell r="G53">
            <v>314</v>
          </cell>
          <cell r="H53">
            <v>1</v>
          </cell>
          <cell r="I53">
            <v>1</v>
          </cell>
          <cell r="J53">
            <v>1.5</v>
          </cell>
          <cell r="K53">
            <v>1.1000000000000001</v>
          </cell>
          <cell r="M53">
            <v>1</v>
          </cell>
          <cell r="N53">
            <v>1</v>
          </cell>
          <cell r="O53">
            <v>1.1000000000000001</v>
          </cell>
          <cell r="Q53">
            <v>1</v>
          </cell>
          <cell r="S53">
            <v>1</v>
          </cell>
          <cell r="T53">
            <v>1</v>
          </cell>
          <cell r="U53">
            <v>3</v>
          </cell>
          <cell r="V53">
            <v>1</v>
          </cell>
          <cell r="AD53">
            <v>20.399999999999999</v>
          </cell>
          <cell r="AF53">
            <v>1</v>
          </cell>
          <cell r="AG53">
            <v>4</v>
          </cell>
          <cell r="AH53">
            <v>11</v>
          </cell>
          <cell r="AI53">
            <v>4</v>
          </cell>
          <cell r="AJ53">
            <v>2</v>
          </cell>
          <cell r="AL53">
            <v>1</v>
          </cell>
          <cell r="AT53">
            <v>0</v>
          </cell>
          <cell r="AV53">
            <v>0</v>
          </cell>
          <cell r="AW53">
            <v>204045</v>
          </cell>
          <cell r="AX53">
            <v>0</v>
          </cell>
          <cell r="AY53">
            <v>0</v>
          </cell>
          <cell r="BA53">
            <v>1</v>
          </cell>
          <cell r="BB53">
            <v>1</v>
          </cell>
          <cell r="BG53">
            <v>0</v>
          </cell>
          <cell r="BH53">
            <v>0</v>
          </cell>
          <cell r="BI53">
            <v>0</v>
          </cell>
          <cell r="BP53">
            <v>3</v>
          </cell>
          <cell r="BR53">
            <v>23000</v>
          </cell>
          <cell r="BS53">
            <v>0</v>
          </cell>
          <cell r="BT53">
            <v>367239</v>
          </cell>
          <cell r="BU53">
            <v>100000</v>
          </cell>
          <cell r="BW53">
            <v>0</v>
          </cell>
          <cell r="BX53">
            <v>6279</v>
          </cell>
          <cell r="BY53">
            <v>4140</v>
          </cell>
          <cell r="BZ53">
            <v>4500</v>
          </cell>
          <cell r="CA53">
            <v>4500</v>
          </cell>
          <cell r="CB53">
            <v>5175</v>
          </cell>
          <cell r="CC53">
            <v>9000</v>
          </cell>
          <cell r="CF53">
            <v>0</v>
          </cell>
          <cell r="CG53">
            <v>0</v>
          </cell>
          <cell r="CJ53">
            <v>0</v>
          </cell>
          <cell r="CK53">
            <v>0</v>
          </cell>
          <cell r="CL53">
            <v>45000</v>
          </cell>
          <cell r="CM53">
            <v>105134</v>
          </cell>
          <cell r="CN53">
            <v>6050</v>
          </cell>
          <cell r="CO53">
            <v>0</v>
          </cell>
          <cell r="CP53">
            <v>0</v>
          </cell>
          <cell r="CQ53">
            <v>0</v>
          </cell>
          <cell r="CR53">
            <v>0</v>
          </cell>
          <cell r="CS53">
            <v>0</v>
          </cell>
          <cell r="CT53">
            <v>0</v>
          </cell>
          <cell r="CU53">
            <v>0</v>
          </cell>
          <cell r="CV53">
            <v>0</v>
          </cell>
          <cell r="CX53">
            <v>94500</v>
          </cell>
          <cell r="CY53">
            <v>0</v>
          </cell>
          <cell r="CZ53">
            <v>306016</v>
          </cell>
          <cell r="DA53">
            <v>112569</v>
          </cell>
          <cell r="DB53">
            <v>0</v>
          </cell>
          <cell r="DC53">
            <v>7827179</v>
          </cell>
          <cell r="DD53">
            <v>218434.22</v>
          </cell>
          <cell r="DE53">
            <v>225138</v>
          </cell>
          <cell r="DF53">
            <v>63.099999999999994</v>
          </cell>
          <cell r="DH53">
            <v>68.500000448706174</v>
          </cell>
          <cell r="DI53">
            <v>-5.4000004487061801</v>
          </cell>
          <cell r="DJ53">
            <v>63.099999999999994</v>
          </cell>
          <cell r="DK53">
            <v>68.500000448706174</v>
          </cell>
          <cell r="DL53">
            <v>-5.4000004487061801</v>
          </cell>
          <cell r="DM53">
            <v>0</v>
          </cell>
          <cell r="DN53">
            <v>0</v>
          </cell>
          <cell r="DO53">
            <v>450</v>
          </cell>
          <cell r="DP53">
            <v>19.230769230769234</v>
          </cell>
        </row>
        <row r="54">
          <cell r="A54">
            <v>257</v>
          </cell>
          <cell r="B54" t="str">
            <v>Ketcham</v>
          </cell>
          <cell r="C54" t="str">
            <v>ES</v>
          </cell>
          <cell r="D54">
            <v>8</v>
          </cell>
          <cell r="E54">
            <v>336</v>
          </cell>
          <cell r="F54">
            <v>0.78</v>
          </cell>
          <cell r="G54">
            <v>262</v>
          </cell>
          <cell r="H54">
            <v>1</v>
          </cell>
          <cell r="I54">
            <v>1</v>
          </cell>
          <cell r="J54">
            <v>0.8</v>
          </cell>
          <cell r="M54">
            <v>1</v>
          </cell>
          <cell r="N54">
            <v>1</v>
          </cell>
          <cell r="S54">
            <v>1</v>
          </cell>
          <cell r="T54">
            <v>1</v>
          </cell>
          <cell r="U54">
            <v>2</v>
          </cell>
          <cell r="V54">
            <v>1</v>
          </cell>
          <cell r="W54">
            <v>3</v>
          </cell>
          <cell r="X54">
            <v>1.5</v>
          </cell>
          <cell r="Y54">
            <v>1</v>
          </cell>
          <cell r="Z54">
            <v>2</v>
          </cell>
          <cell r="AA54">
            <v>2</v>
          </cell>
          <cell r="AB54">
            <v>5</v>
          </cell>
          <cell r="AC54">
            <v>3</v>
          </cell>
          <cell r="AD54">
            <v>14</v>
          </cell>
          <cell r="AF54">
            <v>1</v>
          </cell>
          <cell r="AG54">
            <v>1</v>
          </cell>
          <cell r="AH54">
            <v>4</v>
          </cell>
          <cell r="AM54">
            <v>0.36</v>
          </cell>
          <cell r="AQ54">
            <v>4</v>
          </cell>
          <cell r="AR54">
            <v>4</v>
          </cell>
          <cell r="AS54">
            <v>1</v>
          </cell>
          <cell r="AT54">
            <v>0</v>
          </cell>
          <cell r="AV54">
            <v>27200</v>
          </cell>
          <cell r="AW54">
            <v>152353.60000000001</v>
          </cell>
          <cell r="AX54">
            <v>0</v>
          </cell>
          <cell r="AY54">
            <v>0</v>
          </cell>
          <cell r="BG54">
            <v>0</v>
          </cell>
          <cell r="BH54">
            <v>0</v>
          </cell>
          <cell r="BI54">
            <v>0</v>
          </cell>
          <cell r="BR54">
            <v>0</v>
          </cell>
          <cell r="BS54">
            <v>0</v>
          </cell>
          <cell r="BT54">
            <v>55922</v>
          </cell>
          <cell r="BU54">
            <v>0</v>
          </cell>
          <cell r="BW54">
            <v>0</v>
          </cell>
          <cell r="BX54">
            <v>10526</v>
          </cell>
          <cell r="BY54">
            <v>1932</v>
          </cell>
          <cell r="BZ54">
            <v>1680</v>
          </cell>
          <cell r="CA54">
            <v>1680</v>
          </cell>
          <cell r="CB54">
            <v>1932</v>
          </cell>
          <cell r="CC54">
            <v>6720</v>
          </cell>
          <cell r="CF54">
            <v>0</v>
          </cell>
          <cell r="CG54">
            <v>0</v>
          </cell>
          <cell r="CJ54">
            <v>0</v>
          </cell>
          <cell r="CK54">
            <v>0</v>
          </cell>
          <cell r="CL54">
            <v>33600</v>
          </cell>
          <cell r="CM54">
            <v>74150</v>
          </cell>
          <cell r="CN54">
            <v>7020</v>
          </cell>
          <cell r="CO54">
            <v>0</v>
          </cell>
          <cell r="CP54">
            <v>0</v>
          </cell>
          <cell r="CQ54">
            <v>0</v>
          </cell>
          <cell r="CR54">
            <v>0</v>
          </cell>
          <cell r="CS54">
            <v>0</v>
          </cell>
          <cell r="CT54">
            <v>0</v>
          </cell>
          <cell r="CU54">
            <v>13859</v>
          </cell>
          <cell r="CV54">
            <v>0</v>
          </cell>
          <cell r="CX54">
            <v>14575</v>
          </cell>
          <cell r="CY54">
            <v>0</v>
          </cell>
          <cell r="CZ54">
            <v>0</v>
          </cell>
          <cell r="DA54">
            <v>0</v>
          </cell>
          <cell r="DB54">
            <v>112569</v>
          </cell>
          <cell r="DC54">
            <v>5158293.5999999996</v>
          </cell>
          <cell r="DD54">
            <v>246407.5</v>
          </cell>
          <cell r="DE54">
            <v>341268</v>
          </cell>
          <cell r="DF54">
            <v>56.66</v>
          </cell>
          <cell r="DH54">
            <v>54.4</v>
          </cell>
          <cell r="DI54">
            <v>2.259999999999998</v>
          </cell>
          <cell r="DJ54">
            <v>47.66</v>
          </cell>
          <cell r="DK54">
            <v>47.4</v>
          </cell>
          <cell r="DL54">
            <v>0.25999999999999801</v>
          </cell>
          <cell r="DM54">
            <v>0</v>
          </cell>
          <cell r="DN54">
            <v>9</v>
          </cell>
          <cell r="DO54">
            <v>264</v>
          </cell>
          <cell r="DP54">
            <v>18.857142857142858</v>
          </cell>
        </row>
        <row r="55">
          <cell r="A55">
            <v>272</v>
          </cell>
          <cell r="B55" t="str">
            <v>Key</v>
          </cell>
          <cell r="C55" t="str">
            <v>ES</v>
          </cell>
          <cell r="D55">
            <v>3</v>
          </cell>
          <cell r="E55">
            <v>360</v>
          </cell>
          <cell r="F55">
            <v>1.7000000000000001E-2</v>
          </cell>
          <cell r="G55">
            <v>6</v>
          </cell>
          <cell r="H55">
            <v>1</v>
          </cell>
          <cell r="I55">
            <v>1</v>
          </cell>
          <cell r="J55">
            <v>0.9</v>
          </cell>
          <cell r="M55">
            <v>1</v>
          </cell>
          <cell r="N55">
            <v>1</v>
          </cell>
          <cell r="S55">
            <v>1</v>
          </cell>
          <cell r="T55">
            <v>1</v>
          </cell>
          <cell r="U55">
            <v>2</v>
          </cell>
          <cell r="V55">
            <v>1</v>
          </cell>
          <cell r="W55">
            <v>3</v>
          </cell>
          <cell r="AA55">
            <v>2</v>
          </cell>
          <cell r="AB55">
            <v>2</v>
          </cell>
          <cell r="AC55">
            <v>3</v>
          </cell>
          <cell r="AD55">
            <v>17</v>
          </cell>
          <cell r="AF55">
            <v>1</v>
          </cell>
          <cell r="AG55">
            <v>1</v>
          </cell>
          <cell r="AH55">
            <v>3</v>
          </cell>
          <cell r="AL55">
            <v>1</v>
          </cell>
          <cell r="AT55">
            <v>0</v>
          </cell>
          <cell r="AV55">
            <v>0</v>
          </cell>
          <cell r="AW55">
            <v>0</v>
          </cell>
          <cell r="AX55">
            <v>9000</v>
          </cell>
          <cell r="AY55">
            <v>0</v>
          </cell>
          <cell r="BG55">
            <v>0</v>
          </cell>
          <cell r="BH55">
            <v>0</v>
          </cell>
          <cell r="BI55">
            <v>0</v>
          </cell>
          <cell r="BR55">
            <v>0</v>
          </cell>
          <cell r="BS55">
            <v>0</v>
          </cell>
          <cell r="BT55">
            <v>55922</v>
          </cell>
          <cell r="BU55">
            <v>0</v>
          </cell>
          <cell r="BW55">
            <v>0</v>
          </cell>
          <cell r="BX55">
            <v>0</v>
          </cell>
          <cell r="BY55">
            <v>2070</v>
          </cell>
          <cell r="BZ55">
            <v>1800</v>
          </cell>
          <cell r="CA55">
            <v>1800</v>
          </cell>
          <cell r="CB55">
            <v>2070</v>
          </cell>
          <cell r="CC55">
            <v>7200</v>
          </cell>
          <cell r="CF55">
            <v>0</v>
          </cell>
          <cell r="CG55">
            <v>0</v>
          </cell>
          <cell r="CJ55">
            <v>0</v>
          </cell>
          <cell r="CK55">
            <v>0</v>
          </cell>
          <cell r="CL55">
            <v>36000</v>
          </cell>
          <cell r="CM55">
            <v>69214</v>
          </cell>
          <cell r="CN55">
            <v>4539</v>
          </cell>
          <cell r="CO55">
            <v>0</v>
          </cell>
          <cell r="CP55">
            <v>0</v>
          </cell>
          <cell r="CQ55">
            <v>0</v>
          </cell>
          <cell r="CR55">
            <v>0</v>
          </cell>
          <cell r="CS55">
            <v>0</v>
          </cell>
          <cell r="CT55">
            <v>0</v>
          </cell>
          <cell r="CU55">
            <v>0</v>
          </cell>
          <cell r="CV55">
            <v>0</v>
          </cell>
          <cell r="CX55">
            <v>2625</v>
          </cell>
          <cell r="CY55">
            <v>0</v>
          </cell>
          <cell r="CZ55">
            <v>0</v>
          </cell>
          <cell r="DA55">
            <v>0</v>
          </cell>
          <cell r="DB55">
            <v>0</v>
          </cell>
          <cell r="DC55">
            <v>4491225</v>
          </cell>
          <cell r="DD55">
            <v>33780</v>
          </cell>
          <cell r="DE55">
            <v>0</v>
          </cell>
          <cell r="DF55">
            <v>42.9</v>
          </cell>
          <cell r="DH55">
            <v>41.4</v>
          </cell>
          <cell r="DI55">
            <v>1.5</v>
          </cell>
          <cell r="DJ55">
            <v>42.9</v>
          </cell>
          <cell r="DK55">
            <v>41.4</v>
          </cell>
          <cell r="DL55">
            <v>1.5</v>
          </cell>
          <cell r="DM55">
            <v>0</v>
          </cell>
          <cell r="DN55">
            <v>0</v>
          </cell>
          <cell r="DO55">
            <v>321</v>
          </cell>
          <cell r="DP55">
            <v>18.882352941176471</v>
          </cell>
        </row>
        <row r="56">
          <cell r="A56">
            <v>259</v>
          </cell>
          <cell r="B56" t="str">
            <v>Kimball</v>
          </cell>
          <cell r="C56" t="str">
            <v>ES</v>
          </cell>
          <cell r="D56">
            <v>7</v>
          </cell>
          <cell r="E56">
            <v>398</v>
          </cell>
          <cell r="F56">
            <v>0.72399999999999998</v>
          </cell>
          <cell r="G56">
            <v>288</v>
          </cell>
          <cell r="H56">
            <v>1</v>
          </cell>
          <cell r="I56">
            <v>1</v>
          </cell>
          <cell r="J56">
            <v>1</v>
          </cell>
          <cell r="M56">
            <v>1</v>
          </cell>
          <cell r="N56">
            <v>1</v>
          </cell>
          <cell r="S56">
            <v>1</v>
          </cell>
          <cell r="T56">
            <v>1</v>
          </cell>
          <cell r="U56">
            <v>2</v>
          </cell>
          <cell r="V56">
            <v>1</v>
          </cell>
          <cell r="W56">
            <v>3</v>
          </cell>
          <cell r="Y56">
            <v>2</v>
          </cell>
          <cell r="Z56">
            <v>1</v>
          </cell>
          <cell r="AA56">
            <v>2</v>
          </cell>
          <cell r="AB56">
            <v>5</v>
          </cell>
          <cell r="AC56">
            <v>2</v>
          </cell>
          <cell r="AD56">
            <v>17</v>
          </cell>
          <cell r="AF56">
            <v>1</v>
          </cell>
          <cell r="AG56">
            <v>2</v>
          </cell>
          <cell r="AH56">
            <v>4</v>
          </cell>
          <cell r="AM56">
            <v>0.14000000000000001</v>
          </cell>
          <cell r="AQ56">
            <v>5</v>
          </cell>
          <cell r="AR56">
            <v>5</v>
          </cell>
          <cell r="AS56">
            <v>1</v>
          </cell>
          <cell r="AT56">
            <v>0</v>
          </cell>
          <cell r="AV56">
            <v>40800</v>
          </cell>
          <cell r="AW56">
            <v>180466</v>
          </cell>
          <cell r="AX56">
            <v>0</v>
          </cell>
          <cell r="AY56">
            <v>0</v>
          </cell>
          <cell r="BG56">
            <v>0</v>
          </cell>
          <cell r="BH56">
            <v>0</v>
          </cell>
          <cell r="BI56">
            <v>0</v>
          </cell>
          <cell r="BR56">
            <v>0</v>
          </cell>
          <cell r="BS56">
            <v>0</v>
          </cell>
          <cell r="BT56">
            <v>111844</v>
          </cell>
          <cell r="BU56">
            <v>0</v>
          </cell>
          <cell r="BW56">
            <v>0</v>
          </cell>
          <cell r="BX56">
            <v>5788</v>
          </cell>
          <cell r="BY56">
            <v>2289</v>
          </cell>
          <cell r="BZ56">
            <v>1990</v>
          </cell>
          <cell r="CA56">
            <v>1990</v>
          </cell>
          <cell r="CB56">
            <v>2289</v>
          </cell>
          <cell r="CC56">
            <v>7960</v>
          </cell>
          <cell r="CF56">
            <v>0</v>
          </cell>
          <cell r="CG56">
            <v>0</v>
          </cell>
          <cell r="CJ56">
            <v>0</v>
          </cell>
          <cell r="CK56">
            <v>0</v>
          </cell>
          <cell r="CL56">
            <v>39800</v>
          </cell>
          <cell r="CM56">
            <v>78170</v>
          </cell>
          <cell r="CN56">
            <v>6144</v>
          </cell>
          <cell r="CO56">
            <v>0</v>
          </cell>
          <cell r="CP56">
            <v>0</v>
          </cell>
          <cell r="CQ56">
            <v>0</v>
          </cell>
          <cell r="CR56">
            <v>0</v>
          </cell>
          <cell r="CS56">
            <v>0</v>
          </cell>
          <cell r="CT56">
            <v>0</v>
          </cell>
          <cell r="CU56">
            <v>0</v>
          </cell>
          <cell r="CV56">
            <v>0</v>
          </cell>
          <cell r="CX56">
            <v>24700</v>
          </cell>
          <cell r="CY56">
            <v>0</v>
          </cell>
          <cell r="CZ56">
            <v>65306</v>
          </cell>
          <cell r="DA56">
            <v>112569</v>
          </cell>
          <cell r="DB56">
            <v>0</v>
          </cell>
          <cell r="DC56">
            <v>5575155</v>
          </cell>
          <cell r="DD56">
            <v>269212.21000000002</v>
          </cell>
          <cell r="DE56">
            <v>244656</v>
          </cell>
          <cell r="DF56">
            <v>60.14</v>
          </cell>
          <cell r="DH56">
            <v>56.836363636363636</v>
          </cell>
          <cell r="DI56">
            <v>3.3036363636363646</v>
          </cell>
          <cell r="DJ56">
            <v>49.14</v>
          </cell>
          <cell r="DK56">
            <v>49.836363636363636</v>
          </cell>
          <cell r="DL56">
            <v>-0.69636363636363541</v>
          </cell>
          <cell r="DM56">
            <v>0</v>
          </cell>
          <cell r="DN56">
            <v>11</v>
          </cell>
          <cell r="DO56">
            <v>318</v>
          </cell>
          <cell r="DP56">
            <v>18.705882352941178</v>
          </cell>
        </row>
        <row r="57">
          <cell r="A57">
            <v>344</v>
          </cell>
          <cell r="B57" t="str">
            <v>King, M.L.</v>
          </cell>
          <cell r="C57" t="str">
            <v>ES</v>
          </cell>
          <cell r="D57">
            <v>8</v>
          </cell>
          <cell r="E57">
            <v>270</v>
          </cell>
          <cell r="F57">
            <v>0.79600000000000004</v>
          </cell>
          <cell r="G57">
            <v>215</v>
          </cell>
          <cell r="H57">
            <v>1</v>
          </cell>
          <cell r="I57">
            <v>1</v>
          </cell>
          <cell r="M57">
            <v>0.5</v>
          </cell>
          <cell r="N57">
            <v>1</v>
          </cell>
          <cell r="S57">
            <v>1</v>
          </cell>
          <cell r="T57">
            <v>1</v>
          </cell>
          <cell r="U57">
            <v>1</v>
          </cell>
          <cell r="V57">
            <v>0.5</v>
          </cell>
          <cell r="W57">
            <v>3</v>
          </cell>
          <cell r="Y57">
            <v>2</v>
          </cell>
          <cell r="AA57">
            <v>3</v>
          </cell>
          <cell r="AB57">
            <v>5</v>
          </cell>
          <cell r="AC57">
            <v>2</v>
          </cell>
          <cell r="AD57">
            <v>12</v>
          </cell>
          <cell r="AF57">
            <v>1</v>
          </cell>
          <cell r="AG57">
            <v>1</v>
          </cell>
          <cell r="AH57">
            <v>6</v>
          </cell>
          <cell r="AI57">
            <v>6</v>
          </cell>
          <cell r="AM57">
            <v>0.05</v>
          </cell>
          <cell r="AQ57">
            <v>4</v>
          </cell>
          <cell r="AR57">
            <v>4</v>
          </cell>
          <cell r="AS57">
            <v>1</v>
          </cell>
          <cell r="AT57">
            <v>0</v>
          </cell>
          <cell r="AV57">
            <v>27200</v>
          </cell>
          <cell r="AW57">
            <v>122424.8</v>
          </cell>
          <cell r="AX57">
            <v>0</v>
          </cell>
          <cell r="AY57">
            <v>0</v>
          </cell>
          <cell r="BG57">
            <v>0</v>
          </cell>
          <cell r="BH57">
            <v>0</v>
          </cell>
          <cell r="BI57">
            <v>0</v>
          </cell>
          <cell r="BR57">
            <v>0</v>
          </cell>
          <cell r="BS57">
            <v>0</v>
          </cell>
          <cell r="BT57">
            <v>55922</v>
          </cell>
          <cell r="BU57">
            <v>0</v>
          </cell>
          <cell r="BW57">
            <v>0</v>
          </cell>
          <cell r="BX57">
            <v>8637</v>
          </cell>
          <cell r="BY57">
            <v>1553</v>
          </cell>
          <cell r="BZ57">
            <v>1350</v>
          </cell>
          <cell r="CA57">
            <v>1350</v>
          </cell>
          <cell r="CB57">
            <v>1553</v>
          </cell>
          <cell r="CC57">
            <v>5400</v>
          </cell>
          <cell r="CF57">
            <v>0</v>
          </cell>
          <cell r="CG57">
            <v>0</v>
          </cell>
          <cell r="CJ57">
            <v>0</v>
          </cell>
          <cell r="CK57">
            <v>0</v>
          </cell>
          <cell r="CL57">
            <v>27000</v>
          </cell>
          <cell r="CM57">
            <v>69404</v>
          </cell>
          <cell r="CN57">
            <v>4448</v>
          </cell>
          <cell r="CO57">
            <v>0</v>
          </cell>
          <cell r="CP57">
            <v>0</v>
          </cell>
          <cell r="CQ57">
            <v>0</v>
          </cell>
          <cell r="CR57">
            <v>0</v>
          </cell>
          <cell r="CS57">
            <v>0</v>
          </cell>
          <cell r="CT57">
            <v>0</v>
          </cell>
          <cell r="CU57">
            <v>13859</v>
          </cell>
          <cell r="CV57">
            <v>0</v>
          </cell>
          <cell r="CX57">
            <v>18850</v>
          </cell>
          <cell r="CY57">
            <v>0</v>
          </cell>
          <cell r="CZ57">
            <v>238774</v>
          </cell>
          <cell r="DA57">
            <v>112569</v>
          </cell>
          <cell r="DB57">
            <v>116130</v>
          </cell>
          <cell r="DC57">
            <v>5175146.8</v>
          </cell>
          <cell r="DD57">
            <v>122372.31</v>
          </cell>
          <cell r="DE57">
            <v>177584</v>
          </cell>
          <cell r="DF57">
            <v>57.05</v>
          </cell>
          <cell r="DH57">
            <v>59.93636363636363</v>
          </cell>
          <cell r="DI57">
            <v>-2.8863636363636331</v>
          </cell>
          <cell r="DJ57">
            <v>48.05</v>
          </cell>
          <cell r="DK57">
            <v>52.93636363636363</v>
          </cell>
          <cell r="DL57">
            <v>-4.8863636363636331</v>
          </cell>
          <cell r="DM57">
            <v>0</v>
          </cell>
          <cell r="DN57">
            <v>9</v>
          </cell>
          <cell r="DO57">
            <v>213</v>
          </cell>
          <cell r="DP57">
            <v>17.75</v>
          </cell>
        </row>
        <row r="58">
          <cell r="A58">
            <v>417</v>
          </cell>
          <cell r="B58" t="str">
            <v>Kramer</v>
          </cell>
          <cell r="C58" t="str">
            <v>MS</v>
          </cell>
          <cell r="D58">
            <v>8</v>
          </cell>
          <cell r="E58">
            <v>246</v>
          </cell>
          <cell r="F58">
            <v>0.85</v>
          </cell>
          <cell r="G58">
            <v>209</v>
          </cell>
          <cell r="H58">
            <v>1</v>
          </cell>
          <cell r="I58">
            <v>1</v>
          </cell>
          <cell r="J58">
            <v>0.8</v>
          </cell>
          <cell r="K58">
            <v>1</v>
          </cell>
          <cell r="M58">
            <v>0.5</v>
          </cell>
          <cell r="N58">
            <v>1</v>
          </cell>
          <cell r="Q58">
            <v>1</v>
          </cell>
          <cell r="S58">
            <v>1</v>
          </cell>
          <cell r="T58">
            <v>1</v>
          </cell>
          <cell r="U58">
            <v>3</v>
          </cell>
          <cell r="V58">
            <v>0.5</v>
          </cell>
          <cell r="AD58">
            <v>11.2</v>
          </cell>
          <cell r="AF58">
            <v>1</v>
          </cell>
          <cell r="AG58">
            <v>2</v>
          </cell>
          <cell r="AH58">
            <v>10</v>
          </cell>
          <cell r="AI58">
            <v>4</v>
          </cell>
          <cell r="AJ58">
            <v>1</v>
          </cell>
          <cell r="AM58">
            <v>0.09</v>
          </cell>
          <cell r="AT58">
            <v>0</v>
          </cell>
          <cell r="AV58">
            <v>0</v>
          </cell>
          <cell r="AW58">
            <v>111544.11</v>
          </cell>
          <cell r="AX58">
            <v>0</v>
          </cell>
          <cell r="AY58">
            <v>0</v>
          </cell>
          <cell r="BA58">
            <v>1</v>
          </cell>
          <cell r="BB58">
            <v>1</v>
          </cell>
          <cell r="BG58">
            <v>0</v>
          </cell>
          <cell r="BH58">
            <v>0</v>
          </cell>
          <cell r="BI58">
            <v>0</v>
          </cell>
          <cell r="BP58">
            <v>2</v>
          </cell>
          <cell r="BR58">
            <v>23000</v>
          </cell>
          <cell r="BS58">
            <v>0</v>
          </cell>
          <cell r="BT58">
            <v>244046</v>
          </cell>
          <cell r="BU58">
            <v>100000</v>
          </cell>
          <cell r="BW58">
            <v>75000</v>
          </cell>
          <cell r="BX58">
            <v>8389</v>
          </cell>
          <cell r="BY58">
            <v>2263</v>
          </cell>
          <cell r="BZ58">
            <v>2460</v>
          </cell>
          <cell r="CA58">
            <v>2460</v>
          </cell>
          <cell r="CB58">
            <v>2829</v>
          </cell>
          <cell r="CC58">
            <v>4920</v>
          </cell>
          <cell r="CF58">
            <v>0</v>
          </cell>
          <cell r="CG58">
            <v>0</v>
          </cell>
          <cell r="CJ58">
            <v>0</v>
          </cell>
          <cell r="CK58">
            <v>0</v>
          </cell>
          <cell r="CL58">
            <v>24600</v>
          </cell>
          <cell r="CM58">
            <v>74197</v>
          </cell>
          <cell r="CN58">
            <v>5613</v>
          </cell>
          <cell r="CO58">
            <v>0</v>
          </cell>
          <cell r="CP58">
            <v>0</v>
          </cell>
          <cell r="CQ58">
            <v>0</v>
          </cell>
          <cell r="CR58">
            <v>0</v>
          </cell>
          <cell r="CS58">
            <v>0</v>
          </cell>
          <cell r="CT58">
            <v>0</v>
          </cell>
          <cell r="CU58">
            <v>0</v>
          </cell>
          <cell r="CV58">
            <v>0</v>
          </cell>
          <cell r="CX58">
            <v>48750</v>
          </cell>
          <cell r="CY58">
            <v>0</v>
          </cell>
          <cell r="CZ58">
            <v>0</v>
          </cell>
          <cell r="DA58">
            <v>112569</v>
          </cell>
          <cell r="DB58">
            <v>173372</v>
          </cell>
          <cell r="DC58">
            <v>5524426.1099999994</v>
          </cell>
          <cell r="DD58">
            <v>117805.41</v>
          </cell>
          <cell r="DE58">
            <v>182079</v>
          </cell>
          <cell r="DF58">
            <v>45.09</v>
          </cell>
          <cell r="DH58">
            <v>42.590909539615268</v>
          </cell>
          <cell r="DI58">
            <v>2.4990904603847355</v>
          </cell>
          <cell r="DJ58">
            <v>45.09</v>
          </cell>
          <cell r="DK58">
            <v>42.590909539615268</v>
          </cell>
          <cell r="DL58">
            <v>2.4990904603847355</v>
          </cell>
          <cell r="DM58">
            <v>0</v>
          </cell>
          <cell r="DN58">
            <v>0</v>
          </cell>
          <cell r="DO58">
            <v>246</v>
          </cell>
          <cell r="DP58">
            <v>18.636363636363637</v>
          </cell>
        </row>
        <row r="59">
          <cell r="A59">
            <v>261</v>
          </cell>
          <cell r="B59" t="str">
            <v>Lafayette</v>
          </cell>
          <cell r="C59" t="str">
            <v>ES</v>
          </cell>
          <cell r="D59">
            <v>4</v>
          </cell>
          <cell r="E59">
            <v>942</v>
          </cell>
          <cell r="F59">
            <v>0.04</v>
          </cell>
          <cell r="G59">
            <v>38</v>
          </cell>
          <cell r="H59">
            <v>1</v>
          </cell>
          <cell r="I59">
            <v>1</v>
          </cell>
          <cell r="J59">
            <v>2.5</v>
          </cell>
          <cell r="M59">
            <v>1</v>
          </cell>
          <cell r="N59">
            <v>1</v>
          </cell>
          <cell r="O59">
            <v>2.5</v>
          </cell>
          <cell r="S59">
            <v>1</v>
          </cell>
          <cell r="T59">
            <v>1</v>
          </cell>
          <cell r="U59">
            <v>4</v>
          </cell>
          <cell r="V59">
            <v>1</v>
          </cell>
          <cell r="W59">
            <v>5.5</v>
          </cell>
          <cell r="X59">
            <v>2</v>
          </cell>
          <cell r="AA59">
            <v>2</v>
          </cell>
          <cell r="AB59">
            <v>2</v>
          </cell>
          <cell r="AC59">
            <v>6</v>
          </cell>
          <cell r="AD59">
            <v>39</v>
          </cell>
          <cell r="AF59">
            <v>2</v>
          </cell>
          <cell r="AG59">
            <v>2</v>
          </cell>
          <cell r="AH59">
            <v>10</v>
          </cell>
          <cell r="AI59">
            <v>5</v>
          </cell>
          <cell r="AL59">
            <v>3</v>
          </cell>
          <cell r="AT59">
            <v>0</v>
          </cell>
          <cell r="AV59">
            <v>0</v>
          </cell>
          <cell r="AW59">
            <v>0</v>
          </cell>
          <cell r="AX59">
            <v>24550</v>
          </cell>
          <cell r="AY59">
            <v>0</v>
          </cell>
          <cell r="BG59">
            <v>0</v>
          </cell>
          <cell r="BH59">
            <v>0</v>
          </cell>
          <cell r="BI59">
            <v>0</v>
          </cell>
          <cell r="BR59">
            <v>0</v>
          </cell>
          <cell r="BS59">
            <v>0</v>
          </cell>
          <cell r="BT59">
            <v>111844</v>
          </cell>
          <cell r="BU59">
            <v>0</v>
          </cell>
          <cell r="BW59">
            <v>0</v>
          </cell>
          <cell r="BX59">
            <v>0</v>
          </cell>
          <cell r="BY59">
            <v>5647</v>
          </cell>
          <cell r="BZ59">
            <v>4910</v>
          </cell>
          <cell r="CA59">
            <v>4910</v>
          </cell>
          <cell r="CB59">
            <v>5647</v>
          </cell>
          <cell r="CC59">
            <v>19640</v>
          </cell>
          <cell r="CF59">
            <v>0</v>
          </cell>
          <cell r="CG59">
            <v>0</v>
          </cell>
          <cell r="CJ59">
            <v>0</v>
          </cell>
          <cell r="CK59">
            <v>0</v>
          </cell>
          <cell r="CL59">
            <v>98200</v>
          </cell>
          <cell r="CM59">
            <v>157557</v>
          </cell>
          <cell r="CN59">
            <v>9385</v>
          </cell>
          <cell r="CO59">
            <v>0</v>
          </cell>
          <cell r="CP59">
            <v>0</v>
          </cell>
          <cell r="CQ59">
            <v>0</v>
          </cell>
          <cell r="CR59">
            <v>0</v>
          </cell>
          <cell r="CS59">
            <v>115428</v>
          </cell>
          <cell r="CT59">
            <v>0</v>
          </cell>
          <cell r="CU59">
            <v>0</v>
          </cell>
          <cell r="CV59">
            <v>0</v>
          </cell>
          <cell r="CX59">
            <v>4375</v>
          </cell>
          <cell r="CY59">
            <v>0</v>
          </cell>
          <cell r="CZ59">
            <v>377903</v>
          </cell>
          <cell r="DA59">
            <v>112569</v>
          </cell>
          <cell r="DB59">
            <v>337708</v>
          </cell>
          <cell r="DC59">
            <v>10688735</v>
          </cell>
          <cell r="DD59">
            <v>84520.98</v>
          </cell>
          <cell r="DE59">
            <v>917558.5</v>
          </cell>
          <cell r="DF59">
            <v>94.5</v>
          </cell>
          <cell r="DH59">
            <v>95.5</v>
          </cell>
          <cell r="DI59">
            <v>-1</v>
          </cell>
          <cell r="DJ59">
            <v>94.5</v>
          </cell>
          <cell r="DK59">
            <v>95.5</v>
          </cell>
          <cell r="DL59">
            <v>-1</v>
          </cell>
          <cell r="DM59">
            <v>0</v>
          </cell>
          <cell r="DN59">
            <v>0</v>
          </cell>
          <cell r="DO59">
            <v>904</v>
          </cell>
          <cell r="DP59">
            <v>23.179487179487179</v>
          </cell>
        </row>
        <row r="60">
          <cell r="A60">
            <v>262</v>
          </cell>
          <cell r="B60" t="str">
            <v>Langdon</v>
          </cell>
          <cell r="C60" t="str">
            <v>ES</v>
          </cell>
          <cell r="D60">
            <v>5</v>
          </cell>
          <cell r="E60">
            <v>358</v>
          </cell>
          <cell r="F60">
            <v>0.503</v>
          </cell>
          <cell r="G60">
            <v>180</v>
          </cell>
          <cell r="H60">
            <v>1</v>
          </cell>
          <cell r="I60">
            <v>1</v>
          </cell>
          <cell r="J60">
            <v>0.9</v>
          </cell>
          <cell r="M60">
            <v>1</v>
          </cell>
          <cell r="N60">
            <v>1</v>
          </cell>
          <cell r="S60">
            <v>1</v>
          </cell>
          <cell r="T60">
            <v>1</v>
          </cell>
          <cell r="U60">
            <v>3</v>
          </cell>
          <cell r="V60">
            <v>1</v>
          </cell>
          <cell r="W60">
            <v>3</v>
          </cell>
          <cell r="Y60">
            <v>1</v>
          </cell>
          <cell r="Z60">
            <v>3</v>
          </cell>
          <cell r="AA60">
            <v>1</v>
          </cell>
          <cell r="AB60">
            <v>5</v>
          </cell>
          <cell r="AC60">
            <v>3</v>
          </cell>
          <cell r="AD60">
            <v>15</v>
          </cell>
          <cell r="AF60">
            <v>1</v>
          </cell>
          <cell r="AG60">
            <v>2</v>
          </cell>
          <cell r="AH60">
            <v>6</v>
          </cell>
          <cell r="AI60">
            <v>6</v>
          </cell>
          <cell r="AL60">
            <v>1</v>
          </cell>
          <cell r="AQ60">
            <v>6</v>
          </cell>
          <cell r="AR60">
            <v>6</v>
          </cell>
          <cell r="AT60">
            <v>0</v>
          </cell>
          <cell r="AV60">
            <v>40800</v>
          </cell>
          <cell r="AW60">
            <v>162330.84</v>
          </cell>
          <cell r="AX60">
            <v>0</v>
          </cell>
          <cell r="AY60">
            <v>0</v>
          </cell>
          <cell r="BG60">
            <v>0</v>
          </cell>
          <cell r="BH60">
            <v>0</v>
          </cell>
          <cell r="BI60">
            <v>0</v>
          </cell>
          <cell r="BR60">
            <v>0</v>
          </cell>
          <cell r="BS60">
            <v>0</v>
          </cell>
          <cell r="BT60">
            <v>55922</v>
          </cell>
          <cell r="BU60">
            <v>0</v>
          </cell>
          <cell r="BW60">
            <v>0</v>
          </cell>
          <cell r="BX60">
            <v>3602</v>
          </cell>
          <cell r="BY60">
            <v>2059</v>
          </cell>
          <cell r="BZ60">
            <v>1790</v>
          </cell>
          <cell r="CA60">
            <v>1790</v>
          </cell>
          <cell r="CB60">
            <v>2059</v>
          </cell>
          <cell r="CC60">
            <v>7160</v>
          </cell>
          <cell r="CF60">
            <v>0</v>
          </cell>
          <cell r="CG60">
            <v>0</v>
          </cell>
          <cell r="CJ60">
            <v>0</v>
          </cell>
          <cell r="CK60">
            <v>0</v>
          </cell>
          <cell r="CL60">
            <v>35800</v>
          </cell>
          <cell r="CM60">
            <v>84522</v>
          </cell>
          <cell r="CN60">
            <v>6086</v>
          </cell>
          <cell r="CO60">
            <v>0</v>
          </cell>
          <cell r="CP60">
            <v>0</v>
          </cell>
          <cell r="CQ60">
            <v>0</v>
          </cell>
          <cell r="CR60">
            <v>0</v>
          </cell>
          <cell r="CS60">
            <v>0</v>
          </cell>
          <cell r="CT60">
            <v>0</v>
          </cell>
          <cell r="CU60">
            <v>0</v>
          </cell>
          <cell r="CV60">
            <v>0</v>
          </cell>
          <cell r="CX60">
            <v>13750</v>
          </cell>
          <cell r="CY60">
            <v>0</v>
          </cell>
          <cell r="CZ60">
            <v>0</v>
          </cell>
          <cell r="DA60">
            <v>0</v>
          </cell>
          <cell r="DB60">
            <v>10200</v>
          </cell>
          <cell r="DC60">
            <v>5718487.8399999999</v>
          </cell>
          <cell r="DD60">
            <v>164548.37</v>
          </cell>
          <cell r="DE60">
            <v>385228</v>
          </cell>
          <cell r="DF60">
            <v>69.900000000000006</v>
          </cell>
          <cell r="DH60">
            <v>69.5</v>
          </cell>
          <cell r="DI60">
            <v>0.40000000000000568</v>
          </cell>
          <cell r="DJ60">
            <v>57.9</v>
          </cell>
          <cell r="DK60">
            <v>61.5</v>
          </cell>
          <cell r="DL60">
            <v>-3.6000000000000014</v>
          </cell>
          <cell r="DM60">
            <v>0</v>
          </cell>
          <cell r="DN60">
            <v>12</v>
          </cell>
          <cell r="DO60">
            <v>276</v>
          </cell>
          <cell r="DP60">
            <v>18.399999999999999</v>
          </cell>
        </row>
        <row r="61">
          <cell r="A61">
            <v>370</v>
          </cell>
          <cell r="B61" t="str">
            <v>Langley</v>
          </cell>
          <cell r="C61" t="str">
            <v>ES</v>
          </cell>
          <cell r="D61">
            <v>5</v>
          </cell>
          <cell r="E61">
            <v>317</v>
          </cell>
          <cell r="F61">
            <v>0.53300000000000003</v>
          </cell>
          <cell r="G61">
            <v>169</v>
          </cell>
          <cell r="H61">
            <v>1</v>
          </cell>
          <cell r="I61">
            <v>1</v>
          </cell>
          <cell r="J61">
            <v>0.8</v>
          </cell>
          <cell r="M61">
            <v>1</v>
          </cell>
          <cell r="N61">
            <v>1</v>
          </cell>
          <cell r="S61">
            <v>1</v>
          </cell>
          <cell r="T61">
            <v>1</v>
          </cell>
          <cell r="U61">
            <v>2</v>
          </cell>
          <cell r="V61">
            <v>1</v>
          </cell>
          <cell r="W61">
            <v>3</v>
          </cell>
          <cell r="Y61">
            <v>2</v>
          </cell>
          <cell r="Z61">
            <v>1</v>
          </cell>
          <cell r="AA61">
            <v>3</v>
          </cell>
          <cell r="AB61">
            <v>6</v>
          </cell>
          <cell r="AC61">
            <v>2</v>
          </cell>
          <cell r="AD61">
            <v>10</v>
          </cell>
          <cell r="AF61">
            <v>1</v>
          </cell>
          <cell r="AG61">
            <v>4</v>
          </cell>
          <cell r="AH61">
            <v>9</v>
          </cell>
          <cell r="AI61">
            <v>8</v>
          </cell>
          <cell r="AJ61">
            <v>2</v>
          </cell>
          <cell r="AL61">
            <v>2</v>
          </cell>
          <cell r="AQ61">
            <v>4</v>
          </cell>
          <cell r="AR61">
            <v>4</v>
          </cell>
          <cell r="AS61">
            <v>1</v>
          </cell>
          <cell r="AT61">
            <v>0</v>
          </cell>
          <cell r="AV61">
            <v>27200</v>
          </cell>
          <cell r="AW61">
            <v>250390.44500000001</v>
          </cell>
          <cell r="AX61">
            <v>0</v>
          </cell>
          <cell r="AY61">
            <v>0</v>
          </cell>
          <cell r="BE61">
            <v>1</v>
          </cell>
          <cell r="BG61">
            <v>0</v>
          </cell>
          <cell r="BH61">
            <v>0</v>
          </cell>
          <cell r="BI61">
            <v>0</v>
          </cell>
          <cell r="BR61">
            <v>0</v>
          </cell>
          <cell r="BS61">
            <v>0</v>
          </cell>
          <cell r="BT61">
            <v>55922</v>
          </cell>
          <cell r="BU61">
            <v>0</v>
          </cell>
          <cell r="BW61">
            <v>0</v>
          </cell>
          <cell r="BX61">
            <v>3375</v>
          </cell>
          <cell r="BY61">
            <v>1823</v>
          </cell>
          <cell r="BZ61">
            <v>1585</v>
          </cell>
          <cell r="CA61">
            <v>1585</v>
          </cell>
          <cell r="CB61">
            <v>1823</v>
          </cell>
          <cell r="CC61">
            <v>6340</v>
          </cell>
          <cell r="CF61">
            <v>0</v>
          </cell>
          <cell r="CG61">
            <v>0</v>
          </cell>
          <cell r="CJ61">
            <v>0</v>
          </cell>
          <cell r="CK61">
            <v>0</v>
          </cell>
          <cell r="CL61">
            <v>31700</v>
          </cell>
          <cell r="CM61">
            <v>90059</v>
          </cell>
          <cell r="CN61">
            <v>5258</v>
          </cell>
          <cell r="CO61">
            <v>0</v>
          </cell>
          <cell r="CP61">
            <v>0</v>
          </cell>
          <cell r="CQ61">
            <v>0</v>
          </cell>
          <cell r="CR61">
            <v>0</v>
          </cell>
          <cell r="CS61">
            <v>0</v>
          </cell>
          <cell r="CT61">
            <v>0</v>
          </cell>
          <cell r="CU61">
            <v>0</v>
          </cell>
          <cell r="CV61">
            <v>0</v>
          </cell>
          <cell r="CX61">
            <v>16900</v>
          </cell>
          <cell r="CY61">
            <v>0</v>
          </cell>
          <cell r="CZ61">
            <v>0</v>
          </cell>
          <cell r="DA61">
            <v>0</v>
          </cell>
          <cell r="DB61">
            <v>0</v>
          </cell>
          <cell r="DC61">
            <v>6237642.4450000003</v>
          </cell>
          <cell r="DD61">
            <v>183831.97</v>
          </cell>
          <cell r="DE61">
            <v>114138</v>
          </cell>
          <cell r="DF61">
            <v>72.8</v>
          </cell>
          <cell r="DH61">
            <v>72.8</v>
          </cell>
          <cell r="DI61">
            <v>0</v>
          </cell>
          <cell r="DJ61">
            <v>63.8</v>
          </cell>
          <cell r="DK61">
            <v>65.8</v>
          </cell>
          <cell r="DL61">
            <v>-2</v>
          </cell>
          <cell r="DM61">
            <v>0</v>
          </cell>
          <cell r="DN61">
            <v>9</v>
          </cell>
          <cell r="DO61">
            <v>225</v>
          </cell>
          <cell r="DP61">
            <v>22.5</v>
          </cell>
        </row>
        <row r="62">
          <cell r="A62">
            <v>264</v>
          </cell>
          <cell r="B62" t="str">
            <v>LaSalle-Backus</v>
          </cell>
          <cell r="C62" t="str">
            <v>ES</v>
          </cell>
          <cell r="D62">
            <v>4</v>
          </cell>
          <cell r="E62">
            <v>252</v>
          </cell>
          <cell r="F62">
            <v>0.47599999999999998</v>
          </cell>
          <cell r="G62">
            <v>120</v>
          </cell>
          <cell r="H62">
            <v>1</v>
          </cell>
          <cell r="I62">
            <v>1</v>
          </cell>
          <cell r="M62">
            <v>0.5</v>
          </cell>
          <cell r="N62">
            <v>1</v>
          </cell>
          <cell r="S62">
            <v>1</v>
          </cell>
          <cell r="T62">
            <v>1</v>
          </cell>
          <cell r="U62">
            <v>1</v>
          </cell>
          <cell r="V62">
            <v>0.5</v>
          </cell>
          <cell r="W62">
            <v>3</v>
          </cell>
          <cell r="Y62">
            <v>1</v>
          </cell>
          <cell r="Z62">
            <v>2</v>
          </cell>
          <cell r="AA62">
            <v>1</v>
          </cell>
          <cell r="AB62">
            <v>4</v>
          </cell>
          <cell r="AC62">
            <v>2</v>
          </cell>
          <cell r="AD62">
            <v>12</v>
          </cell>
          <cell r="AF62">
            <v>1</v>
          </cell>
          <cell r="AG62">
            <v>3</v>
          </cell>
          <cell r="AH62">
            <v>6</v>
          </cell>
          <cell r="AI62">
            <v>2</v>
          </cell>
          <cell r="AJ62">
            <v>2</v>
          </cell>
          <cell r="AL62">
            <v>7</v>
          </cell>
          <cell r="AO62">
            <v>1</v>
          </cell>
          <cell r="AQ62">
            <v>5</v>
          </cell>
          <cell r="AR62">
            <v>5</v>
          </cell>
          <cell r="AS62">
            <v>1</v>
          </cell>
          <cell r="AT62">
            <v>0</v>
          </cell>
          <cell r="AV62">
            <v>40800</v>
          </cell>
          <cell r="AW62">
            <v>114263.54000000001</v>
          </cell>
          <cell r="AX62">
            <v>0</v>
          </cell>
          <cell r="AY62">
            <v>0</v>
          </cell>
          <cell r="BG62">
            <v>0</v>
          </cell>
          <cell r="BH62">
            <v>0</v>
          </cell>
          <cell r="BI62">
            <v>0</v>
          </cell>
          <cell r="BR62">
            <v>0</v>
          </cell>
          <cell r="BS62">
            <v>0</v>
          </cell>
          <cell r="BT62">
            <v>111844</v>
          </cell>
          <cell r="BU62">
            <v>0</v>
          </cell>
          <cell r="BW62">
            <v>0</v>
          </cell>
          <cell r="BX62">
            <v>2407</v>
          </cell>
          <cell r="BY62">
            <v>1449</v>
          </cell>
          <cell r="BZ62">
            <v>1260</v>
          </cell>
          <cell r="CA62">
            <v>1260</v>
          </cell>
          <cell r="CB62">
            <v>1449</v>
          </cell>
          <cell r="CC62">
            <v>5040</v>
          </cell>
          <cell r="CF62">
            <v>0</v>
          </cell>
          <cell r="CG62">
            <v>0</v>
          </cell>
          <cell r="CJ62">
            <v>0</v>
          </cell>
          <cell r="CK62">
            <v>0</v>
          </cell>
          <cell r="CL62">
            <v>25200</v>
          </cell>
          <cell r="CM62">
            <v>84387</v>
          </cell>
          <cell r="CN62">
            <v>4441</v>
          </cell>
          <cell r="CO62">
            <v>0</v>
          </cell>
          <cell r="CP62">
            <v>0</v>
          </cell>
          <cell r="CQ62">
            <v>0</v>
          </cell>
          <cell r="CR62">
            <v>0</v>
          </cell>
          <cell r="CS62">
            <v>0</v>
          </cell>
          <cell r="CT62">
            <v>0</v>
          </cell>
          <cell r="CU62">
            <v>0</v>
          </cell>
          <cell r="CV62">
            <v>0</v>
          </cell>
          <cell r="CX62">
            <v>24475</v>
          </cell>
          <cell r="CY62">
            <v>0</v>
          </cell>
          <cell r="CZ62">
            <v>1190574</v>
          </cell>
          <cell r="DA62">
            <v>0</v>
          </cell>
          <cell r="DB62">
            <v>0</v>
          </cell>
          <cell r="DC62">
            <v>6887655.54</v>
          </cell>
          <cell r="DD62">
            <v>86818.25</v>
          </cell>
          <cell r="DE62">
            <v>295643</v>
          </cell>
          <cell r="DF62">
            <v>65</v>
          </cell>
          <cell r="DH62">
            <v>75.400000000000006</v>
          </cell>
          <cell r="DI62">
            <v>-10.400000000000006</v>
          </cell>
          <cell r="DJ62">
            <v>54</v>
          </cell>
          <cell r="DK62">
            <v>68.400000000000006</v>
          </cell>
          <cell r="DL62">
            <v>-14.400000000000006</v>
          </cell>
          <cell r="DM62">
            <v>0</v>
          </cell>
          <cell r="DN62">
            <v>11</v>
          </cell>
          <cell r="DO62">
            <v>193</v>
          </cell>
          <cell r="DP62">
            <v>16.083333333333332</v>
          </cell>
        </row>
        <row r="63">
          <cell r="A63">
            <v>266</v>
          </cell>
          <cell r="B63" t="str">
            <v>Leckie</v>
          </cell>
          <cell r="C63" t="str">
            <v>EC</v>
          </cell>
          <cell r="D63">
            <v>8</v>
          </cell>
          <cell r="E63">
            <v>487</v>
          </cell>
          <cell r="F63">
            <v>0.52400000000000002</v>
          </cell>
          <cell r="G63">
            <v>255</v>
          </cell>
          <cell r="H63">
            <v>1</v>
          </cell>
          <cell r="I63">
            <v>1</v>
          </cell>
          <cell r="J63">
            <v>1.3</v>
          </cell>
          <cell r="K63">
            <v>1</v>
          </cell>
          <cell r="M63">
            <v>1</v>
          </cell>
          <cell r="N63">
            <v>1</v>
          </cell>
          <cell r="O63">
            <v>1.2</v>
          </cell>
          <cell r="S63">
            <v>1</v>
          </cell>
          <cell r="T63">
            <v>1</v>
          </cell>
          <cell r="U63">
            <v>2</v>
          </cell>
          <cell r="V63">
            <v>1</v>
          </cell>
          <cell r="W63">
            <v>3</v>
          </cell>
          <cell r="Y63">
            <v>3</v>
          </cell>
          <cell r="AA63">
            <v>3</v>
          </cell>
          <cell r="AB63">
            <v>6</v>
          </cell>
          <cell r="AC63">
            <v>3</v>
          </cell>
          <cell r="AD63">
            <v>19.600000000000001</v>
          </cell>
          <cell r="AF63">
            <v>1</v>
          </cell>
          <cell r="AG63">
            <v>2</v>
          </cell>
          <cell r="AH63">
            <v>8</v>
          </cell>
          <cell r="AI63">
            <v>2</v>
          </cell>
          <cell r="AL63">
            <v>1</v>
          </cell>
          <cell r="AQ63">
            <v>8</v>
          </cell>
          <cell r="AR63">
            <v>8</v>
          </cell>
          <cell r="AS63">
            <v>1</v>
          </cell>
          <cell r="AT63">
            <v>0</v>
          </cell>
          <cell r="AV63">
            <v>54400</v>
          </cell>
          <cell r="AW63">
            <v>220820.83000000002</v>
          </cell>
          <cell r="AX63">
            <v>0</v>
          </cell>
          <cell r="AY63">
            <v>0</v>
          </cell>
          <cell r="BG63">
            <v>0</v>
          </cell>
          <cell r="BH63">
            <v>0</v>
          </cell>
          <cell r="BI63">
            <v>0</v>
          </cell>
          <cell r="BP63">
            <v>2</v>
          </cell>
          <cell r="BR63">
            <v>23000</v>
          </cell>
          <cell r="BS63">
            <v>0</v>
          </cell>
          <cell r="BT63">
            <v>167765</v>
          </cell>
          <cell r="BU63">
            <v>100000</v>
          </cell>
          <cell r="BW63">
            <v>0</v>
          </cell>
          <cell r="BX63">
            <v>5105</v>
          </cell>
          <cell r="BY63">
            <v>3221</v>
          </cell>
          <cell r="BZ63">
            <v>3045</v>
          </cell>
          <cell r="CA63">
            <v>3045</v>
          </cell>
          <cell r="CB63">
            <v>3502</v>
          </cell>
          <cell r="CC63">
            <v>9740</v>
          </cell>
          <cell r="CF63">
            <v>0</v>
          </cell>
          <cell r="CG63">
            <v>0</v>
          </cell>
          <cell r="CJ63">
            <v>0</v>
          </cell>
          <cell r="CK63">
            <v>0</v>
          </cell>
          <cell r="CL63">
            <v>48700</v>
          </cell>
          <cell r="CM63">
            <v>104704</v>
          </cell>
          <cell r="CN63">
            <v>5185</v>
          </cell>
          <cell r="CO63">
            <v>0</v>
          </cell>
          <cell r="CP63">
            <v>0</v>
          </cell>
          <cell r="CQ63">
            <v>0</v>
          </cell>
          <cell r="CR63">
            <v>0</v>
          </cell>
          <cell r="CS63">
            <v>0</v>
          </cell>
          <cell r="CT63">
            <v>0</v>
          </cell>
          <cell r="CU63">
            <v>0</v>
          </cell>
          <cell r="CV63">
            <v>0</v>
          </cell>
          <cell r="CX63">
            <v>44625</v>
          </cell>
          <cell r="CY63">
            <v>0</v>
          </cell>
          <cell r="CZ63">
            <v>13714</v>
          </cell>
          <cell r="DA63">
            <v>0</v>
          </cell>
          <cell r="DB63">
            <v>156529</v>
          </cell>
          <cell r="DC63">
            <v>7435068.8300000001</v>
          </cell>
          <cell r="DD63">
            <v>157992.4</v>
          </cell>
          <cell r="DE63">
            <v>90879</v>
          </cell>
          <cell r="DF63">
            <v>83.1</v>
          </cell>
          <cell r="DH63">
            <v>78.300000000000011</v>
          </cell>
          <cell r="DI63">
            <v>4.7999999999999829</v>
          </cell>
          <cell r="DJ63">
            <v>66.099999999999994</v>
          </cell>
          <cell r="DK63">
            <v>67.300000000000011</v>
          </cell>
          <cell r="DL63">
            <v>-1.2000000000000171</v>
          </cell>
          <cell r="DM63">
            <v>0</v>
          </cell>
          <cell r="DN63">
            <v>17</v>
          </cell>
          <cell r="DO63">
            <v>396</v>
          </cell>
          <cell r="DP63">
            <v>18.333333333333332</v>
          </cell>
        </row>
        <row r="64">
          <cell r="A64">
            <v>271</v>
          </cell>
          <cell r="B64" t="str">
            <v>Ludlow-Taylor</v>
          </cell>
          <cell r="C64" t="str">
            <v>ES</v>
          </cell>
          <cell r="D64">
            <v>6</v>
          </cell>
          <cell r="E64">
            <v>449</v>
          </cell>
          <cell r="F64">
            <v>0.23799999999999999</v>
          </cell>
          <cell r="G64">
            <v>107</v>
          </cell>
          <cell r="H64">
            <v>1</v>
          </cell>
          <cell r="I64">
            <v>1</v>
          </cell>
          <cell r="J64">
            <v>1.1000000000000001</v>
          </cell>
          <cell r="M64">
            <v>1</v>
          </cell>
          <cell r="N64">
            <v>1</v>
          </cell>
          <cell r="O64">
            <v>1.1000000000000001</v>
          </cell>
          <cell r="S64">
            <v>1</v>
          </cell>
          <cell r="T64">
            <v>1</v>
          </cell>
          <cell r="U64">
            <v>2</v>
          </cell>
          <cell r="V64">
            <v>1</v>
          </cell>
          <cell r="W64">
            <v>4.5</v>
          </cell>
          <cell r="Y64">
            <v>3</v>
          </cell>
          <cell r="AA64">
            <v>3</v>
          </cell>
          <cell r="AB64">
            <v>6</v>
          </cell>
          <cell r="AC64">
            <v>3</v>
          </cell>
          <cell r="AD64">
            <v>18</v>
          </cell>
          <cell r="AF64">
            <v>1</v>
          </cell>
          <cell r="AG64">
            <v>1</v>
          </cell>
          <cell r="AH64">
            <v>7</v>
          </cell>
          <cell r="AI64">
            <v>6</v>
          </cell>
          <cell r="AL64">
            <v>1</v>
          </cell>
          <cell r="AT64">
            <v>0</v>
          </cell>
          <cell r="AV64">
            <v>0</v>
          </cell>
          <cell r="AW64">
            <v>0</v>
          </cell>
          <cell r="AX64">
            <v>11225</v>
          </cell>
          <cell r="AY64">
            <v>0</v>
          </cell>
          <cell r="BG64">
            <v>0</v>
          </cell>
          <cell r="BH64">
            <v>0</v>
          </cell>
          <cell r="BI64">
            <v>0</v>
          </cell>
          <cell r="BR64">
            <v>0</v>
          </cell>
          <cell r="BS64">
            <v>0</v>
          </cell>
          <cell r="BT64">
            <v>55922</v>
          </cell>
          <cell r="BU64">
            <v>0</v>
          </cell>
          <cell r="BW64">
            <v>0</v>
          </cell>
          <cell r="BX64">
            <v>0</v>
          </cell>
          <cell r="BY64">
            <v>2582</v>
          </cell>
          <cell r="BZ64">
            <v>2245</v>
          </cell>
          <cell r="CA64">
            <v>2245</v>
          </cell>
          <cell r="CB64">
            <v>2582</v>
          </cell>
          <cell r="CC64">
            <v>8980</v>
          </cell>
          <cell r="CF64">
            <v>0</v>
          </cell>
          <cell r="CG64">
            <v>0</v>
          </cell>
          <cell r="CJ64">
            <v>0</v>
          </cell>
          <cell r="CK64">
            <v>0</v>
          </cell>
          <cell r="CL64">
            <v>44900</v>
          </cell>
          <cell r="CM64">
            <v>95680</v>
          </cell>
          <cell r="CN64">
            <v>5502</v>
          </cell>
          <cell r="CO64">
            <v>0</v>
          </cell>
          <cell r="CP64">
            <v>0</v>
          </cell>
          <cell r="CQ64">
            <v>0</v>
          </cell>
          <cell r="CR64">
            <v>0</v>
          </cell>
          <cell r="CS64">
            <v>0</v>
          </cell>
          <cell r="CT64">
            <v>0</v>
          </cell>
          <cell r="CU64">
            <v>0</v>
          </cell>
          <cell r="CV64">
            <v>0</v>
          </cell>
          <cell r="CX64">
            <v>4725</v>
          </cell>
          <cell r="CY64">
            <v>0</v>
          </cell>
          <cell r="CZ64">
            <v>0</v>
          </cell>
          <cell r="DA64">
            <v>0</v>
          </cell>
          <cell r="DB64">
            <v>112570</v>
          </cell>
          <cell r="DC64">
            <v>6292007</v>
          </cell>
          <cell r="DD64">
            <v>118061.5</v>
          </cell>
          <cell r="DE64">
            <v>299354</v>
          </cell>
          <cell r="DF64">
            <v>64.7</v>
          </cell>
          <cell r="DH64">
            <v>64.400000000000006</v>
          </cell>
          <cell r="DI64">
            <v>0.29999999999999716</v>
          </cell>
          <cell r="DJ64">
            <v>64.7</v>
          </cell>
          <cell r="DK64">
            <v>64.400000000000006</v>
          </cell>
          <cell r="DL64">
            <v>0.29999999999999716</v>
          </cell>
          <cell r="DM64">
            <v>0</v>
          </cell>
          <cell r="DN64">
            <v>0</v>
          </cell>
          <cell r="DO64">
            <v>347</v>
          </cell>
          <cell r="DP64">
            <v>19.277777777777779</v>
          </cell>
        </row>
        <row r="65">
          <cell r="A65">
            <v>884</v>
          </cell>
          <cell r="B65" t="str">
            <v xml:space="preserve">Luke Moore Alternative </v>
          </cell>
          <cell r="C65" t="str">
            <v>HS</v>
          </cell>
          <cell r="D65">
            <v>5</v>
          </cell>
          <cell r="E65">
            <v>204</v>
          </cell>
          <cell r="F65">
            <v>0</v>
          </cell>
          <cell r="G65">
            <v>0</v>
          </cell>
          <cell r="H65">
            <v>1</v>
          </cell>
          <cell r="I65">
            <v>1</v>
          </cell>
          <cell r="J65">
            <v>0.7</v>
          </cell>
          <cell r="L65">
            <v>1</v>
          </cell>
          <cell r="M65">
            <v>0.5</v>
          </cell>
          <cell r="N65">
            <v>1</v>
          </cell>
          <cell r="P65">
            <v>1</v>
          </cell>
          <cell r="Q65">
            <v>1</v>
          </cell>
          <cell r="S65">
            <v>1</v>
          </cell>
          <cell r="T65">
            <v>1</v>
          </cell>
          <cell r="U65">
            <v>1</v>
          </cell>
          <cell r="V65">
            <v>0.5</v>
          </cell>
          <cell r="AD65">
            <v>8.5</v>
          </cell>
          <cell r="AE65">
            <v>0</v>
          </cell>
          <cell r="AF65">
            <v>1</v>
          </cell>
          <cell r="AG65">
            <v>1</v>
          </cell>
          <cell r="AH65">
            <v>10</v>
          </cell>
          <cell r="AI65">
            <v>2</v>
          </cell>
          <cell r="AJ65">
            <v>1</v>
          </cell>
          <cell r="AM65">
            <v>0.18</v>
          </cell>
          <cell r="AT65">
            <v>0</v>
          </cell>
          <cell r="AU65">
            <v>70000</v>
          </cell>
          <cell r="AV65">
            <v>0</v>
          </cell>
          <cell r="AW65">
            <v>64992.369999999995</v>
          </cell>
          <cell r="AX65">
            <v>0</v>
          </cell>
          <cell r="AY65">
            <v>0</v>
          </cell>
          <cell r="BG65">
            <v>0</v>
          </cell>
          <cell r="BH65">
            <v>0</v>
          </cell>
          <cell r="BI65">
            <v>0</v>
          </cell>
          <cell r="BR65">
            <v>0</v>
          </cell>
          <cell r="BS65">
            <v>0</v>
          </cell>
          <cell r="BT65">
            <v>244046</v>
          </cell>
          <cell r="BU65">
            <v>0</v>
          </cell>
          <cell r="BW65">
            <v>0</v>
          </cell>
          <cell r="BX65">
            <v>0</v>
          </cell>
          <cell r="BY65">
            <v>5865</v>
          </cell>
          <cell r="BZ65">
            <v>3060</v>
          </cell>
          <cell r="CA65">
            <v>3060</v>
          </cell>
          <cell r="CB65">
            <v>7038</v>
          </cell>
          <cell r="CC65">
            <v>4080</v>
          </cell>
          <cell r="CE65">
            <v>1</v>
          </cell>
          <cell r="CF65">
            <v>0</v>
          </cell>
          <cell r="CG65">
            <v>150000</v>
          </cell>
          <cell r="CJ65">
            <v>0</v>
          </cell>
          <cell r="CK65">
            <v>0</v>
          </cell>
          <cell r="CL65">
            <v>20400</v>
          </cell>
          <cell r="CM65">
            <v>58038</v>
          </cell>
          <cell r="CN65">
            <v>3577</v>
          </cell>
          <cell r="CO65">
            <v>0</v>
          </cell>
          <cell r="CP65">
            <v>0</v>
          </cell>
          <cell r="CQ65">
            <v>0</v>
          </cell>
          <cell r="CR65">
            <v>0</v>
          </cell>
          <cell r="CS65">
            <v>0</v>
          </cell>
          <cell r="CT65">
            <v>0</v>
          </cell>
          <cell r="CU65">
            <v>0</v>
          </cell>
          <cell r="CV65">
            <v>0</v>
          </cell>
          <cell r="CX65">
            <v>0</v>
          </cell>
          <cell r="CY65">
            <v>4950</v>
          </cell>
          <cell r="CZ65">
            <v>447671</v>
          </cell>
          <cell r="DA65">
            <v>112569</v>
          </cell>
          <cell r="DB65">
            <v>112569</v>
          </cell>
          <cell r="DC65">
            <v>4916520.37</v>
          </cell>
          <cell r="DD65">
            <v>95630.37</v>
          </cell>
          <cell r="DE65">
            <v>0</v>
          </cell>
          <cell r="DF65">
            <v>35.380000000000003</v>
          </cell>
          <cell r="DH65">
            <v>36.063636812342537</v>
          </cell>
          <cell r="DI65">
            <v>-0.68363681234253448</v>
          </cell>
          <cell r="DJ65">
            <v>35.380000000000003</v>
          </cell>
          <cell r="DK65">
            <v>36.063636812342537</v>
          </cell>
          <cell r="DL65">
            <v>-0.68363681234253448</v>
          </cell>
          <cell r="DM65">
            <v>0</v>
          </cell>
          <cell r="DN65">
            <v>0</v>
          </cell>
          <cell r="DO65">
            <v>204</v>
          </cell>
          <cell r="DP65">
            <v>24</v>
          </cell>
        </row>
        <row r="66">
          <cell r="A66">
            <v>420</v>
          </cell>
          <cell r="B66" t="str">
            <v>MacFarland</v>
          </cell>
          <cell r="C66" t="str">
            <v>MS</v>
          </cell>
          <cell r="D66">
            <v>4</v>
          </cell>
          <cell r="E66">
            <v>641</v>
          </cell>
          <cell r="F66">
            <v>0.40600000000000003</v>
          </cell>
          <cell r="G66">
            <v>260</v>
          </cell>
          <cell r="H66">
            <v>1</v>
          </cell>
          <cell r="I66">
            <v>1</v>
          </cell>
          <cell r="J66">
            <v>2.1</v>
          </cell>
          <cell r="K66">
            <v>1.6</v>
          </cell>
          <cell r="M66">
            <v>1</v>
          </cell>
          <cell r="N66">
            <v>1</v>
          </cell>
          <cell r="O66">
            <v>1.6</v>
          </cell>
          <cell r="S66">
            <v>1</v>
          </cell>
          <cell r="T66">
            <v>1</v>
          </cell>
          <cell r="U66">
            <v>4</v>
          </cell>
          <cell r="V66">
            <v>1</v>
          </cell>
          <cell r="AD66">
            <v>29.2</v>
          </cell>
          <cell r="AF66">
            <v>1</v>
          </cell>
          <cell r="AG66">
            <v>3</v>
          </cell>
          <cell r="AH66">
            <v>13</v>
          </cell>
          <cell r="AI66">
            <v>2</v>
          </cell>
          <cell r="AJ66">
            <v>1</v>
          </cell>
          <cell r="AL66">
            <v>13</v>
          </cell>
          <cell r="AO66">
            <v>3</v>
          </cell>
          <cell r="AT66">
            <v>0</v>
          </cell>
          <cell r="AV66">
            <v>0</v>
          </cell>
          <cell r="AW66">
            <v>290650.59999999998</v>
          </cell>
          <cell r="AX66">
            <v>0</v>
          </cell>
          <cell r="AY66">
            <v>0</v>
          </cell>
          <cell r="BG66">
            <v>0</v>
          </cell>
          <cell r="BH66">
            <v>0</v>
          </cell>
          <cell r="BI66">
            <v>0</v>
          </cell>
          <cell r="BP66">
            <v>3</v>
          </cell>
          <cell r="BR66">
            <v>23000</v>
          </cell>
          <cell r="BS66">
            <v>5000</v>
          </cell>
          <cell r="BT66">
            <v>355889</v>
          </cell>
          <cell r="BU66">
            <v>100000</v>
          </cell>
          <cell r="BW66">
            <v>0</v>
          </cell>
          <cell r="BX66">
            <v>5200</v>
          </cell>
          <cell r="BY66">
            <v>5897</v>
          </cell>
          <cell r="BZ66">
            <v>6410</v>
          </cell>
          <cell r="CA66">
            <v>6410</v>
          </cell>
          <cell r="CB66">
            <v>7372</v>
          </cell>
          <cell r="CC66">
            <v>12820</v>
          </cell>
          <cell r="CF66">
            <v>0</v>
          </cell>
          <cell r="CG66">
            <v>0</v>
          </cell>
          <cell r="CH66">
            <v>1</v>
          </cell>
          <cell r="CJ66">
            <v>0</v>
          </cell>
          <cell r="CK66">
            <v>0</v>
          </cell>
          <cell r="CL66">
            <v>64100</v>
          </cell>
          <cell r="CM66">
            <v>146176</v>
          </cell>
          <cell r="CN66">
            <v>8431</v>
          </cell>
          <cell r="CO66">
            <v>0</v>
          </cell>
          <cell r="CP66">
            <v>0</v>
          </cell>
          <cell r="CQ66">
            <v>0</v>
          </cell>
          <cell r="CR66">
            <v>0</v>
          </cell>
          <cell r="CS66">
            <v>0</v>
          </cell>
          <cell r="CT66">
            <v>0</v>
          </cell>
          <cell r="CU66">
            <v>0</v>
          </cell>
          <cell r="CV66">
            <v>0</v>
          </cell>
          <cell r="CX66">
            <v>54600</v>
          </cell>
          <cell r="CY66">
            <v>0</v>
          </cell>
          <cell r="CZ66">
            <v>224659</v>
          </cell>
          <cell r="DA66">
            <v>0</v>
          </cell>
          <cell r="DB66">
            <v>0</v>
          </cell>
          <cell r="DC66">
            <v>10412961.6</v>
          </cell>
          <cell r="DD66">
            <v>227737.43</v>
          </cell>
          <cell r="DE66">
            <v>359742</v>
          </cell>
          <cell r="DF66">
            <v>85.5</v>
          </cell>
          <cell r="DH66">
            <v>92.2</v>
          </cell>
          <cell r="DI66">
            <v>-6.7000000000000028</v>
          </cell>
          <cell r="DJ66">
            <v>85.5</v>
          </cell>
          <cell r="DK66">
            <v>92.2</v>
          </cell>
          <cell r="DL66">
            <v>-6.7000000000000028</v>
          </cell>
          <cell r="DM66">
            <v>0</v>
          </cell>
          <cell r="DN66">
            <v>0</v>
          </cell>
          <cell r="DO66">
            <v>641</v>
          </cell>
          <cell r="DP66">
            <v>19.906832298136646</v>
          </cell>
        </row>
        <row r="67">
          <cell r="A67">
            <v>308</v>
          </cell>
          <cell r="B67" t="str">
            <v>Malcolm X</v>
          </cell>
          <cell r="C67" t="str">
            <v>ES</v>
          </cell>
          <cell r="D67">
            <v>8</v>
          </cell>
          <cell r="E67">
            <v>233</v>
          </cell>
          <cell r="F67">
            <v>0.81100000000000005</v>
          </cell>
          <cell r="G67">
            <v>189</v>
          </cell>
          <cell r="H67">
            <v>1</v>
          </cell>
          <cell r="I67">
            <v>1</v>
          </cell>
          <cell r="M67">
            <v>0.5</v>
          </cell>
          <cell r="N67">
            <v>1</v>
          </cell>
          <cell r="S67">
            <v>1</v>
          </cell>
          <cell r="T67">
            <v>1</v>
          </cell>
          <cell r="U67">
            <v>1</v>
          </cell>
          <cell r="V67">
            <v>0.5</v>
          </cell>
          <cell r="W67">
            <v>3</v>
          </cell>
          <cell r="Y67">
            <v>2</v>
          </cell>
          <cell r="AA67">
            <v>2</v>
          </cell>
          <cell r="AB67">
            <v>4</v>
          </cell>
          <cell r="AC67">
            <v>2</v>
          </cell>
          <cell r="AD67">
            <v>10</v>
          </cell>
          <cell r="AF67">
            <v>1</v>
          </cell>
          <cell r="AG67">
            <v>3</v>
          </cell>
          <cell r="AH67">
            <v>5</v>
          </cell>
          <cell r="AI67">
            <v>2</v>
          </cell>
          <cell r="AJ67">
            <v>2</v>
          </cell>
          <cell r="AM67">
            <v>0.05</v>
          </cell>
          <cell r="AQ67">
            <v>5</v>
          </cell>
          <cell r="AR67">
            <v>5</v>
          </cell>
          <cell r="AS67">
            <v>1</v>
          </cell>
          <cell r="AT67">
            <v>0</v>
          </cell>
          <cell r="AV67">
            <v>40800</v>
          </cell>
          <cell r="AW67">
            <v>105648.64000000001</v>
          </cell>
          <cell r="AX67">
            <v>0</v>
          </cell>
          <cell r="AY67">
            <v>0</v>
          </cell>
          <cell r="BG67">
            <v>0</v>
          </cell>
          <cell r="BH67">
            <v>0</v>
          </cell>
          <cell r="BI67">
            <v>0</v>
          </cell>
          <cell r="BR67">
            <v>0</v>
          </cell>
          <cell r="BS67">
            <v>0</v>
          </cell>
          <cell r="BT67">
            <v>55922</v>
          </cell>
          <cell r="BU67">
            <v>0</v>
          </cell>
          <cell r="BW67">
            <v>0</v>
          </cell>
          <cell r="BX67">
            <v>7619</v>
          </cell>
          <cell r="BY67">
            <v>1340</v>
          </cell>
          <cell r="BZ67">
            <v>1165</v>
          </cell>
          <cell r="CA67">
            <v>1165</v>
          </cell>
          <cell r="CB67">
            <v>1340</v>
          </cell>
          <cell r="CC67">
            <v>4660</v>
          </cell>
          <cell r="CF67">
            <v>0</v>
          </cell>
          <cell r="CG67">
            <v>0</v>
          </cell>
          <cell r="CJ67">
            <v>0</v>
          </cell>
          <cell r="CK67">
            <v>0</v>
          </cell>
          <cell r="CL67">
            <v>23300</v>
          </cell>
          <cell r="CM67">
            <v>64533</v>
          </cell>
          <cell r="CN67">
            <v>4197</v>
          </cell>
          <cell r="CO67">
            <v>0</v>
          </cell>
          <cell r="CP67">
            <v>0</v>
          </cell>
          <cell r="CQ67">
            <v>0</v>
          </cell>
          <cell r="CR67">
            <v>0</v>
          </cell>
          <cell r="CS67">
            <v>0</v>
          </cell>
          <cell r="CT67">
            <v>0</v>
          </cell>
          <cell r="CU67">
            <v>13859</v>
          </cell>
          <cell r="CV67">
            <v>0</v>
          </cell>
          <cell r="CX67">
            <v>19175</v>
          </cell>
          <cell r="CY67">
            <v>0</v>
          </cell>
          <cell r="CZ67">
            <v>0</v>
          </cell>
          <cell r="DA67">
            <v>0</v>
          </cell>
          <cell r="DB67">
            <v>56285</v>
          </cell>
          <cell r="DC67">
            <v>4447183.6400000006</v>
          </cell>
          <cell r="DD67">
            <v>136683.10999999999</v>
          </cell>
          <cell r="DE67">
            <v>74976</v>
          </cell>
          <cell r="DF67">
            <v>54.05</v>
          </cell>
          <cell r="DH67">
            <v>48</v>
          </cell>
          <cell r="DI67">
            <v>6.0499999999999972</v>
          </cell>
          <cell r="DJ67">
            <v>43.05</v>
          </cell>
          <cell r="DK67">
            <v>41</v>
          </cell>
          <cell r="DL67">
            <v>2.0499999999999972</v>
          </cell>
          <cell r="DM67">
            <v>0</v>
          </cell>
          <cell r="DN67">
            <v>11</v>
          </cell>
          <cell r="DO67">
            <v>177</v>
          </cell>
          <cell r="DP67">
            <v>17.7</v>
          </cell>
        </row>
        <row r="68">
          <cell r="A68">
            <v>273</v>
          </cell>
          <cell r="B68" t="str">
            <v>Mann</v>
          </cell>
          <cell r="C68" t="str">
            <v>ES</v>
          </cell>
          <cell r="D68">
            <v>3</v>
          </cell>
          <cell r="E68">
            <v>402</v>
          </cell>
          <cell r="F68">
            <v>3.6999999999999998E-2</v>
          </cell>
          <cell r="G68">
            <v>15</v>
          </cell>
          <cell r="H68">
            <v>1</v>
          </cell>
          <cell r="I68">
            <v>1</v>
          </cell>
          <cell r="J68">
            <v>1</v>
          </cell>
          <cell r="M68">
            <v>1</v>
          </cell>
          <cell r="N68">
            <v>1</v>
          </cell>
          <cell r="O68">
            <v>1</v>
          </cell>
          <cell r="S68">
            <v>1</v>
          </cell>
          <cell r="T68">
            <v>1</v>
          </cell>
          <cell r="U68">
            <v>2</v>
          </cell>
          <cell r="V68">
            <v>1</v>
          </cell>
          <cell r="W68">
            <v>4.5</v>
          </cell>
          <cell r="AA68">
            <v>2</v>
          </cell>
          <cell r="AB68">
            <v>2</v>
          </cell>
          <cell r="AC68">
            <v>3</v>
          </cell>
          <cell r="AD68">
            <v>18</v>
          </cell>
          <cell r="AF68">
            <v>1</v>
          </cell>
          <cell r="AG68">
            <v>1</v>
          </cell>
          <cell r="AH68">
            <v>3</v>
          </cell>
          <cell r="AL68">
            <v>2</v>
          </cell>
          <cell r="AT68">
            <v>0</v>
          </cell>
          <cell r="AV68">
            <v>0</v>
          </cell>
          <cell r="AW68">
            <v>0</v>
          </cell>
          <cell r="AX68">
            <v>10050</v>
          </cell>
          <cell r="AY68">
            <v>0</v>
          </cell>
          <cell r="BG68">
            <v>0</v>
          </cell>
          <cell r="BH68">
            <v>0</v>
          </cell>
          <cell r="BI68">
            <v>0</v>
          </cell>
          <cell r="BR68">
            <v>0</v>
          </cell>
          <cell r="BS68">
            <v>0</v>
          </cell>
          <cell r="BT68">
            <v>55922</v>
          </cell>
          <cell r="BU68">
            <v>0</v>
          </cell>
          <cell r="BW68">
            <v>0</v>
          </cell>
          <cell r="BX68">
            <v>0</v>
          </cell>
          <cell r="BY68">
            <v>2312</v>
          </cell>
          <cell r="BZ68">
            <v>2010</v>
          </cell>
          <cell r="CA68">
            <v>2010</v>
          </cell>
          <cell r="CB68">
            <v>2312</v>
          </cell>
          <cell r="CC68">
            <v>8040</v>
          </cell>
          <cell r="CF68">
            <v>0</v>
          </cell>
          <cell r="CG68">
            <v>0</v>
          </cell>
          <cell r="CJ68">
            <v>0</v>
          </cell>
          <cell r="CK68">
            <v>0</v>
          </cell>
          <cell r="CL68">
            <v>40200</v>
          </cell>
          <cell r="CM68">
            <v>76624</v>
          </cell>
          <cell r="CN68">
            <v>3485</v>
          </cell>
          <cell r="CO68">
            <v>0</v>
          </cell>
          <cell r="CP68">
            <v>0</v>
          </cell>
          <cell r="CQ68">
            <v>0</v>
          </cell>
          <cell r="CR68">
            <v>0</v>
          </cell>
          <cell r="CS68">
            <v>0</v>
          </cell>
          <cell r="CT68">
            <v>0</v>
          </cell>
          <cell r="CU68">
            <v>0</v>
          </cell>
          <cell r="CV68">
            <v>0</v>
          </cell>
          <cell r="CX68">
            <v>1225</v>
          </cell>
          <cell r="CY68">
            <v>0</v>
          </cell>
          <cell r="CZ68">
            <v>0</v>
          </cell>
          <cell r="DA68">
            <v>0</v>
          </cell>
          <cell r="DB68">
            <v>0</v>
          </cell>
          <cell r="DC68">
            <v>4963459</v>
          </cell>
          <cell r="DD68">
            <v>27791.63</v>
          </cell>
          <cell r="DE68">
            <v>131014</v>
          </cell>
          <cell r="DF68">
            <v>47.5</v>
          </cell>
          <cell r="DH68">
            <v>48.70000000000001</v>
          </cell>
          <cell r="DI68">
            <v>-1.2000000000000099</v>
          </cell>
          <cell r="DJ68">
            <v>47.5</v>
          </cell>
          <cell r="DK68">
            <v>48.70000000000001</v>
          </cell>
          <cell r="DL68">
            <v>-1.2000000000000099</v>
          </cell>
          <cell r="DM68">
            <v>0</v>
          </cell>
          <cell r="DN68">
            <v>0</v>
          </cell>
          <cell r="DO68">
            <v>364</v>
          </cell>
          <cell r="DP68">
            <v>20.222222222222221</v>
          </cell>
        </row>
        <row r="69">
          <cell r="A69">
            <v>284</v>
          </cell>
          <cell r="B69" t="str">
            <v>Marie Reed</v>
          </cell>
          <cell r="C69" t="str">
            <v>ES</v>
          </cell>
          <cell r="D69">
            <v>1</v>
          </cell>
          <cell r="E69">
            <v>457</v>
          </cell>
          <cell r="F69">
            <v>0.29499999999999998</v>
          </cell>
          <cell r="G69">
            <v>135</v>
          </cell>
          <cell r="H69">
            <v>1</v>
          </cell>
          <cell r="I69">
            <v>1</v>
          </cell>
          <cell r="J69">
            <v>1.1000000000000001</v>
          </cell>
          <cell r="M69">
            <v>1</v>
          </cell>
          <cell r="N69">
            <v>1</v>
          </cell>
          <cell r="O69">
            <v>1.1000000000000001</v>
          </cell>
          <cell r="S69">
            <v>1</v>
          </cell>
          <cell r="T69">
            <v>1</v>
          </cell>
          <cell r="U69">
            <v>4</v>
          </cell>
          <cell r="V69">
            <v>1</v>
          </cell>
          <cell r="W69">
            <v>4.5</v>
          </cell>
          <cell r="Y69">
            <v>2</v>
          </cell>
          <cell r="Z69">
            <v>2</v>
          </cell>
          <cell r="AA69">
            <v>2</v>
          </cell>
          <cell r="AB69">
            <v>6</v>
          </cell>
          <cell r="AC69">
            <v>3</v>
          </cell>
          <cell r="AD69">
            <v>18</v>
          </cell>
          <cell r="AF69">
            <v>1</v>
          </cell>
          <cell r="AG69">
            <v>4</v>
          </cell>
          <cell r="AH69">
            <v>7</v>
          </cell>
          <cell r="AI69">
            <v>2</v>
          </cell>
          <cell r="AJ69">
            <v>2</v>
          </cell>
          <cell r="AL69">
            <v>9</v>
          </cell>
          <cell r="AO69">
            <v>2</v>
          </cell>
          <cell r="AQ69">
            <v>11</v>
          </cell>
          <cell r="AR69">
            <v>11</v>
          </cell>
          <cell r="AT69">
            <v>0</v>
          </cell>
          <cell r="AV69">
            <v>81600</v>
          </cell>
          <cell r="AW69">
            <v>207217.72</v>
          </cell>
          <cell r="AX69">
            <v>0</v>
          </cell>
          <cell r="AY69">
            <v>0</v>
          </cell>
          <cell r="BG69">
            <v>0</v>
          </cell>
          <cell r="BH69">
            <v>0</v>
          </cell>
          <cell r="BI69">
            <v>0</v>
          </cell>
          <cell r="BO69">
            <v>1</v>
          </cell>
          <cell r="BR69">
            <v>0</v>
          </cell>
          <cell r="BS69">
            <v>0</v>
          </cell>
          <cell r="BT69">
            <v>111844</v>
          </cell>
          <cell r="BU69">
            <v>0</v>
          </cell>
          <cell r="BW69">
            <v>0</v>
          </cell>
          <cell r="BX69">
            <v>2702</v>
          </cell>
          <cell r="BY69">
            <v>2628</v>
          </cell>
          <cell r="BZ69">
            <v>2285</v>
          </cell>
          <cell r="CA69">
            <v>2285</v>
          </cell>
          <cell r="CB69">
            <v>2628</v>
          </cell>
          <cell r="CC69">
            <v>9140</v>
          </cell>
          <cell r="CF69">
            <v>0</v>
          </cell>
          <cell r="CG69">
            <v>0</v>
          </cell>
          <cell r="CJ69">
            <v>5000</v>
          </cell>
          <cell r="CK69">
            <v>70583</v>
          </cell>
          <cell r="CL69">
            <v>45700</v>
          </cell>
          <cell r="CM69">
            <v>122040</v>
          </cell>
          <cell r="CN69">
            <v>10106</v>
          </cell>
          <cell r="CO69">
            <v>0</v>
          </cell>
          <cell r="CP69">
            <v>0</v>
          </cell>
          <cell r="CQ69">
            <v>0</v>
          </cell>
          <cell r="CR69">
            <v>0</v>
          </cell>
          <cell r="CS69">
            <v>0</v>
          </cell>
          <cell r="CT69">
            <v>0</v>
          </cell>
          <cell r="CU69">
            <v>0</v>
          </cell>
          <cell r="CV69">
            <v>0</v>
          </cell>
          <cell r="CW69">
            <v>1</v>
          </cell>
          <cell r="CX69">
            <v>10125</v>
          </cell>
          <cell r="CY69">
            <v>0</v>
          </cell>
          <cell r="CZ69">
            <v>0</v>
          </cell>
          <cell r="DA69">
            <v>0</v>
          </cell>
          <cell r="DB69">
            <v>122769</v>
          </cell>
          <cell r="DC69">
            <v>8526131.7199999988</v>
          </cell>
          <cell r="DD69">
            <v>122144.73</v>
          </cell>
          <cell r="DE69">
            <v>8000</v>
          </cell>
          <cell r="DF69">
            <v>101.7</v>
          </cell>
          <cell r="DH69">
            <v>92.4</v>
          </cell>
          <cell r="DI69">
            <v>9.2999999999999972</v>
          </cell>
          <cell r="DJ69">
            <v>79.7</v>
          </cell>
          <cell r="DK69">
            <v>80.400000000000006</v>
          </cell>
          <cell r="DL69">
            <v>-0.70000000000000284</v>
          </cell>
          <cell r="DM69">
            <v>0</v>
          </cell>
          <cell r="DN69">
            <v>22</v>
          </cell>
          <cell r="DO69">
            <v>359</v>
          </cell>
          <cell r="DP69">
            <v>19.944444444444443</v>
          </cell>
        </row>
        <row r="70">
          <cell r="A70">
            <v>274</v>
          </cell>
          <cell r="B70" t="str">
            <v>Maury</v>
          </cell>
          <cell r="C70" t="str">
            <v>ES</v>
          </cell>
          <cell r="D70">
            <v>6</v>
          </cell>
          <cell r="E70">
            <v>509</v>
          </cell>
          <cell r="F70">
            <v>0.13400000000000001</v>
          </cell>
          <cell r="G70">
            <v>68</v>
          </cell>
          <cell r="H70">
            <v>1</v>
          </cell>
          <cell r="I70">
            <v>1</v>
          </cell>
          <cell r="J70">
            <v>1.3</v>
          </cell>
          <cell r="M70">
            <v>1</v>
          </cell>
          <cell r="N70">
            <v>1</v>
          </cell>
          <cell r="O70">
            <v>1.3</v>
          </cell>
          <cell r="S70">
            <v>1</v>
          </cell>
          <cell r="T70">
            <v>1</v>
          </cell>
          <cell r="U70">
            <v>3</v>
          </cell>
          <cell r="V70">
            <v>1</v>
          </cell>
          <cell r="W70">
            <v>4.5</v>
          </cell>
          <cell r="Y70">
            <v>2</v>
          </cell>
          <cell r="Z70">
            <v>1</v>
          </cell>
          <cell r="AA70">
            <v>2</v>
          </cell>
          <cell r="AB70">
            <v>5</v>
          </cell>
          <cell r="AC70">
            <v>4</v>
          </cell>
          <cell r="AD70">
            <v>20</v>
          </cell>
          <cell r="AF70">
            <v>1</v>
          </cell>
          <cell r="AG70">
            <v>1</v>
          </cell>
          <cell r="AH70">
            <v>4</v>
          </cell>
          <cell r="AL70">
            <v>1</v>
          </cell>
          <cell r="AT70">
            <v>0</v>
          </cell>
          <cell r="AV70">
            <v>0</v>
          </cell>
          <cell r="AW70">
            <v>0</v>
          </cell>
          <cell r="AX70">
            <v>12725</v>
          </cell>
          <cell r="AY70">
            <v>0</v>
          </cell>
          <cell r="BG70">
            <v>0</v>
          </cell>
          <cell r="BH70">
            <v>0</v>
          </cell>
          <cell r="BI70">
            <v>0</v>
          </cell>
          <cell r="BR70">
            <v>0</v>
          </cell>
          <cell r="BS70">
            <v>0</v>
          </cell>
          <cell r="BT70">
            <v>111844</v>
          </cell>
          <cell r="BU70">
            <v>0</v>
          </cell>
          <cell r="BW70">
            <v>0</v>
          </cell>
          <cell r="BX70">
            <v>0</v>
          </cell>
          <cell r="BY70">
            <v>2927</v>
          </cell>
          <cell r="BZ70">
            <v>2545</v>
          </cell>
          <cell r="CA70">
            <v>2545</v>
          </cell>
          <cell r="CB70">
            <v>2927</v>
          </cell>
          <cell r="CC70">
            <v>10180</v>
          </cell>
          <cell r="CF70">
            <v>0</v>
          </cell>
          <cell r="CG70">
            <v>0</v>
          </cell>
          <cell r="CJ70">
            <v>0</v>
          </cell>
          <cell r="CK70">
            <v>0</v>
          </cell>
          <cell r="CL70">
            <v>50900</v>
          </cell>
          <cell r="CM70">
            <v>89916</v>
          </cell>
          <cell r="CN70">
            <v>6422</v>
          </cell>
          <cell r="CO70">
            <v>0</v>
          </cell>
          <cell r="CP70">
            <v>0</v>
          </cell>
          <cell r="CQ70">
            <v>0</v>
          </cell>
          <cell r="CR70">
            <v>0</v>
          </cell>
          <cell r="CS70">
            <v>0</v>
          </cell>
          <cell r="CT70">
            <v>0</v>
          </cell>
          <cell r="CU70">
            <v>0</v>
          </cell>
          <cell r="CV70">
            <v>0</v>
          </cell>
          <cell r="CX70">
            <v>2625</v>
          </cell>
          <cell r="CY70">
            <v>0</v>
          </cell>
          <cell r="CZ70">
            <v>0</v>
          </cell>
          <cell r="DA70">
            <v>0</v>
          </cell>
          <cell r="DB70">
            <v>0</v>
          </cell>
          <cell r="DC70">
            <v>5880368</v>
          </cell>
          <cell r="DD70">
            <v>81936.820000000007</v>
          </cell>
          <cell r="DE70">
            <v>112569</v>
          </cell>
          <cell r="DF70">
            <v>58.1</v>
          </cell>
          <cell r="DH70">
            <v>55.4</v>
          </cell>
          <cell r="DI70">
            <v>2.7000000000000028</v>
          </cell>
          <cell r="DJ70">
            <v>58.1</v>
          </cell>
          <cell r="DK70">
            <v>55.4</v>
          </cell>
          <cell r="DL70">
            <v>2.7000000000000028</v>
          </cell>
          <cell r="DM70">
            <v>0</v>
          </cell>
          <cell r="DN70">
            <v>0</v>
          </cell>
          <cell r="DO70">
            <v>427</v>
          </cell>
          <cell r="DP70">
            <v>21.35</v>
          </cell>
        </row>
        <row r="71">
          <cell r="A71">
            <v>435</v>
          </cell>
          <cell r="B71" t="str">
            <v>McKinley</v>
          </cell>
          <cell r="C71" t="str">
            <v>MS</v>
          </cell>
          <cell r="D71">
            <v>5</v>
          </cell>
          <cell r="E71">
            <v>300</v>
          </cell>
          <cell r="F71">
            <v>0.60699999999999998</v>
          </cell>
          <cell r="G71">
            <v>182</v>
          </cell>
          <cell r="H71">
            <v>0.5</v>
          </cell>
          <cell r="I71">
            <v>1</v>
          </cell>
          <cell r="J71">
            <v>2</v>
          </cell>
          <cell r="K71">
            <v>1</v>
          </cell>
          <cell r="M71">
            <v>1</v>
          </cell>
          <cell r="N71">
            <v>1</v>
          </cell>
          <cell r="S71">
            <v>1</v>
          </cell>
          <cell r="T71">
            <v>1</v>
          </cell>
          <cell r="U71">
            <v>3</v>
          </cell>
          <cell r="V71">
            <v>1</v>
          </cell>
          <cell r="AD71">
            <v>13.5</v>
          </cell>
          <cell r="AF71">
            <v>1</v>
          </cell>
          <cell r="AG71">
            <v>2</v>
          </cell>
          <cell r="AH71">
            <v>8</v>
          </cell>
          <cell r="AI71">
            <v>3</v>
          </cell>
          <cell r="AJ71">
            <v>1</v>
          </cell>
          <cell r="AL71">
            <v>1</v>
          </cell>
          <cell r="AT71">
            <v>0</v>
          </cell>
          <cell r="AV71">
            <v>0</v>
          </cell>
          <cell r="AW71">
            <v>95580.28</v>
          </cell>
          <cell r="AX71">
            <v>0</v>
          </cell>
          <cell r="AY71">
            <v>0</v>
          </cell>
          <cell r="BG71">
            <v>0</v>
          </cell>
          <cell r="BH71">
            <v>0</v>
          </cell>
          <cell r="BI71">
            <v>0</v>
          </cell>
          <cell r="BP71">
            <v>2</v>
          </cell>
          <cell r="BR71">
            <v>23000</v>
          </cell>
          <cell r="BS71">
            <v>5000</v>
          </cell>
          <cell r="BT71">
            <v>188124</v>
          </cell>
          <cell r="BU71">
            <v>100000</v>
          </cell>
          <cell r="BW71">
            <v>75000</v>
          </cell>
          <cell r="BX71">
            <v>3645</v>
          </cell>
          <cell r="BY71">
            <v>2760</v>
          </cell>
          <cell r="BZ71">
            <v>3000</v>
          </cell>
          <cell r="CA71">
            <v>3000</v>
          </cell>
          <cell r="CB71">
            <v>3450</v>
          </cell>
          <cell r="CC71">
            <v>6000</v>
          </cell>
          <cell r="CF71">
            <v>0</v>
          </cell>
          <cell r="CG71">
            <v>0</v>
          </cell>
          <cell r="CJ71">
            <v>0</v>
          </cell>
          <cell r="CK71">
            <v>0</v>
          </cell>
          <cell r="CL71">
            <v>30000</v>
          </cell>
          <cell r="CM71">
            <v>73423</v>
          </cell>
          <cell r="CN71">
            <v>4085</v>
          </cell>
          <cell r="CO71">
            <v>0</v>
          </cell>
          <cell r="CP71">
            <v>0</v>
          </cell>
          <cell r="CQ71">
            <v>0</v>
          </cell>
          <cell r="CR71">
            <v>0</v>
          </cell>
          <cell r="CS71">
            <v>0</v>
          </cell>
          <cell r="CT71">
            <v>0</v>
          </cell>
          <cell r="CU71">
            <v>0</v>
          </cell>
          <cell r="CV71">
            <v>0</v>
          </cell>
          <cell r="CX71">
            <v>42000</v>
          </cell>
          <cell r="CY71">
            <v>0</v>
          </cell>
          <cell r="CZ71">
            <v>0</v>
          </cell>
          <cell r="DA71">
            <v>0</v>
          </cell>
          <cell r="DB71">
            <v>112569</v>
          </cell>
          <cell r="DC71">
            <v>5231084.28</v>
          </cell>
          <cell r="DD71">
            <v>117407.34</v>
          </cell>
          <cell r="DE71">
            <v>0</v>
          </cell>
          <cell r="DF71">
            <v>44</v>
          </cell>
          <cell r="DH71">
            <v>40.299999999999997</v>
          </cell>
          <cell r="DI71">
            <v>3.7000000000000028</v>
          </cell>
          <cell r="DJ71">
            <v>44</v>
          </cell>
          <cell r="DK71">
            <v>40.299999999999997</v>
          </cell>
          <cell r="DL71">
            <v>3.7000000000000028</v>
          </cell>
          <cell r="DM71">
            <v>0</v>
          </cell>
          <cell r="DN71">
            <v>0</v>
          </cell>
          <cell r="DO71">
            <v>300</v>
          </cell>
          <cell r="DP71">
            <v>19.35483870967742</v>
          </cell>
        </row>
        <row r="72">
          <cell r="A72">
            <v>458</v>
          </cell>
          <cell r="B72" t="str">
            <v>McKinley HS</v>
          </cell>
          <cell r="C72" t="str">
            <v>HS</v>
          </cell>
          <cell r="D72">
            <v>5</v>
          </cell>
          <cell r="E72">
            <v>696</v>
          </cell>
          <cell r="F72">
            <v>0.38500000000000001</v>
          </cell>
          <cell r="G72">
            <v>268</v>
          </cell>
          <cell r="H72">
            <v>0.5</v>
          </cell>
          <cell r="I72">
            <v>1</v>
          </cell>
          <cell r="J72">
            <v>2.2999999999999998</v>
          </cell>
          <cell r="L72">
            <v>3</v>
          </cell>
          <cell r="M72">
            <v>1</v>
          </cell>
          <cell r="N72">
            <v>1</v>
          </cell>
          <cell r="O72">
            <v>1.7</v>
          </cell>
          <cell r="P72">
            <v>1</v>
          </cell>
          <cell r="Q72">
            <v>1</v>
          </cell>
          <cell r="S72">
            <v>1</v>
          </cell>
          <cell r="T72">
            <v>1</v>
          </cell>
          <cell r="U72">
            <v>6</v>
          </cell>
          <cell r="V72">
            <v>1</v>
          </cell>
          <cell r="AD72">
            <v>29</v>
          </cell>
          <cell r="AE72">
            <v>0.10000000000000142</v>
          </cell>
          <cell r="AF72">
            <v>1</v>
          </cell>
          <cell r="AG72">
            <v>2</v>
          </cell>
          <cell r="AH72">
            <v>2</v>
          </cell>
          <cell r="AL72">
            <v>1</v>
          </cell>
          <cell r="AT72">
            <v>0</v>
          </cell>
          <cell r="AV72">
            <v>0</v>
          </cell>
          <cell r="AW72">
            <v>221740.13999999998</v>
          </cell>
          <cell r="AX72">
            <v>0</v>
          </cell>
          <cell r="AY72">
            <v>43128.2</v>
          </cell>
          <cell r="BG72">
            <v>0</v>
          </cell>
          <cell r="BH72">
            <v>0</v>
          </cell>
          <cell r="BI72">
            <v>0</v>
          </cell>
          <cell r="BJ72">
            <v>1</v>
          </cell>
          <cell r="BK72">
            <v>1</v>
          </cell>
          <cell r="BL72">
            <v>3</v>
          </cell>
          <cell r="BN72">
            <v>1</v>
          </cell>
          <cell r="BR72">
            <v>0</v>
          </cell>
          <cell r="BS72">
            <v>0</v>
          </cell>
          <cell r="BT72">
            <v>355889</v>
          </cell>
          <cell r="BU72">
            <v>0</v>
          </cell>
          <cell r="BV72">
            <v>1</v>
          </cell>
          <cell r="BW72">
            <v>0</v>
          </cell>
          <cell r="BX72">
            <v>5353</v>
          </cell>
          <cell r="BY72">
            <v>20010</v>
          </cell>
          <cell r="BZ72">
            <v>10440</v>
          </cell>
          <cell r="CA72">
            <v>10440</v>
          </cell>
          <cell r="CB72">
            <v>24012</v>
          </cell>
          <cell r="CC72">
            <v>13920</v>
          </cell>
          <cell r="CF72">
            <v>0</v>
          </cell>
          <cell r="CG72">
            <v>0</v>
          </cell>
          <cell r="CJ72">
            <v>0</v>
          </cell>
          <cell r="CK72">
            <v>0</v>
          </cell>
          <cell r="CL72">
            <v>69600</v>
          </cell>
          <cell r="CM72">
            <v>95730</v>
          </cell>
          <cell r="CN72">
            <v>17681</v>
          </cell>
          <cell r="CO72">
            <v>0</v>
          </cell>
          <cell r="CP72">
            <v>0</v>
          </cell>
          <cell r="CQ72">
            <v>0</v>
          </cell>
          <cell r="CR72">
            <v>0</v>
          </cell>
          <cell r="CS72">
            <v>0</v>
          </cell>
          <cell r="CT72">
            <v>1680585</v>
          </cell>
          <cell r="CU72">
            <v>0</v>
          </cell>
          <cell r="CV72">
            <v>0</v>
          </cell>
          <cell r="CX72">
            <v>3150</v>
          </cell>
          <cell r="CY72">
            <v>0</v>
          </cell>
          <cell r="CZ72">
            <v>0</v>
          </cell>
          <cell r="DA72">
            <v>112569</v>
          </cell>
          <cell r="DB72">
            <v>0</v>
          </cell>
          <cell r="DC72">
            <v>9413753.3399999999</v>
          </cell>
          <cell r="DD72">
            <v>199841.22</v>
          </cell>
          <cell r="DE72">
            <v>156529</v>
          </cell>
          <cell r="DF72">
            <v>63.6</v>
          </cell>
          <cell r="DH72">
            <v>63.20000044870617</v>
          </cell>
          <cell r="DI72">
            <v>0.39999955129383125</v>
          </cell>
          <cell r="DJ72">
            <v>63.6</v>
          </cell>
          <cell r="DK72">
            <v>63.20000044870617</v>
          </cell>
          <cell r="DL72">
            <v>0.39999955129383125</v>
          </cell>
          <cell r="DM72">
            <v>0</v>
          </cell>
          <cell r="DN72">
            <v>0</v>
          </cell>
          <cell r="DO72">
            <v>696</v>
          </cell>
          <cell r="DP72" t="str">
            <v>N/A</v>
          </cell>
        </row>
        <row r="73">
          <cell r="A73" t="str">
            <v>N/A</v>
          </cell>
          <cell r="B73" t="str">
            <v xml:space="preserve">Military Road Early Learning Center </v>
          </cell>
          <cell r="C73" t="str">
            <v>ECE</v>
          </cell>
          <cell r="D73">
            <v>4</v>
          </cell>
          <cell r="E73">
            <v>73</v>
          </cell>
          <cell r="F73">
            <v>0.50700000000000001</v>
          </cell>
          <cell r="G73">
            <v>37</v>
          </cell>
          <cell r="H73">
            <v>1</v>
          </cell>
          <cell r="I73">
            <v>1</v>
          </cell>
          <cell r="M73">
            <v>0.5</v>
          </cell>
          <cell r="N73">
            <v>1</v>
          </cell>
          <cell r="S73">
            <v>1</v>
          </cell>
          <cell r="T73">
            <v>1</v>
          </cell>
          <cell r="U73">
            <v>1</v>
          </cell>
          <cell r="V73">
            <v>0.5</v>
          </cell>
          <cell r="W73">
            <v>3</v>
          </cell>
          <cell r="Y73">
            <v>2</v>
          </cell>
          <cell r="AA73">
            <v>2</v>
          </cell>
          <cell r="AB73">
            <v>4</v>
          </cell>
          <cell r="AH73">
            <v>4</v>
          </cell>
          <cell r="AI73">
            <v>3</v>
          </cell>
          <cell r="AM73">
            <v>0.36</v>
          </cell>
          <cell r="AT73">
            <v>0</v>
          </cell>
          <cell r="AV73">
            <v>0</v>
          </cell>
          <cell r="AW73">
            <v>14255.19</v>
          </cell>
          <cell r="AX73">
            <v>0</v>
          </cell>
          <cell r="AY73">
            <v>0</v>
          </cell>
          <cell r="BG73">
            <v>0</v>
          </cell>
          <cell r="BH73">
            <v>0</v>
          </cell>
          <cell r="BI73">
            <v>0</v>
          </cell>
          <cell r="BR73">
            <v>0</v>
          </cell>
          <cell r="BS73">
            <v>0</v>
          </cell>
          <cell r="BT73">
            <v>55922</v>
          </cell>
          <cell r="BU73">
            <v>0</v>
          </cell>
          <cell r="BW73">
            <v>0</v>
          </cell>
          <cell r="BX73">
            <v>0</v>
          </cell>
          <cell r="BY73">
            <v>0</v>
          </cell>
          <cell r="BZ73">
            <v>0</v>
          </cell>
          <cell r="CA73">
            <v>0</v>
          </cell>
          <cell r="CB73">
            <v>0</v>
          </cell>
          <cell r="CC73">
            <v>0</v>
          </cell>
          <cell r="CF73">
            <v>0</v>
          </cell>
          <cell r="CG73">
            <v>0</v>
          </cell>
          <cell r="CJ73">
            <v>0</v>
          </cell>
          <cell r="CK73">
            <v>0</v>
          </cell>
          <cell r="CL73">
            <v>48100</v>
          </cell>
          <cell r="CM73">
            <v>35966</v>
          </cell>
          <cell r="CN73">
            <v>0</v>
          </cell>
          <cell r="CO73">
            <v>0</v>
          </cell>
          <cell r="CP73">
            <v>0</v>
          </cell>
          <cell r="CQ73">
            <v>0</v>
          </cell>
          <cell r="CR73">
            <v>0</v>
          </cell>
          <cell r="CS73">
            <v>0</v>
          </cell>
          <cell r="CT73">
            <v>0</v>
          </cell>
          <cell r="CU73">
            <v>0</v>
          </cell>
          <cell r="CV73">
            <v>0</v>
          </cell>
          <cell r="CX73">
            <v>4322</v>
          </cell>
          <cell r="CY73">
            <v>0</v>
          </cell>
          <cell r="CZ73">
            <v>0</v>
          </cell>
          <cell r="DA73">
            <v>0</v>
          </cell>
          <cell r="DB73">
            <v>0</v>
          </cell>
          <cell r="DC73">
            <v>2366184.19</v>
          </cell>
          <cell r="DD73">
            <v>45000</v>
          </cell>
          <cell r="DE73">
            <v>0</v>
          </cell>
          <cell r="DF73">
            <v>25.36</v>
          </cell>
          <cell r="DH73" t="str">
            <v>N/A</v>
          </cell>
          <cell r="DI73" t="str">
            <v>N/A</v>
          </cell>
          <cell r="DJ73">
            <v>25.36</v>
          </cell>
          <cell r="DK73" t="str">
            <v>N/A</v>
          </cell>
          <cell r="DL73" t="str">
            <v>N/A</v>
          </cell>
          <cell r="DM73" t="str">
            <v>N/A</v>
          </cell>
          <cell r="DN73">
            <v>0</v>
          </cell>
          <cell r="DO73">
            <v>0</v>
          </cell>
          <cell r="DP73" t="str">
            <v>N/A</v>
          </cell>
        </row>
        <row r="74">
          <cell r="A74">
            <v>280</v>
          </cell>
          <cell r="B74" t="str">
            <v>Miner</v>
          </cell>
          <cell r="C74" t="str">
            <v>ES</v>
          </cell>
          <cell r="D74">
            <v>6</v>
          </cell>
          <cell r="E74">
            <v>418</v>
          </cell>
          <cell r="F74">
            <v>0.63900000000000001</v>
          </cell>
          <cell r="G74">
            <v>267</v>
          </cell>
          <cell r="H74">
            <v>1</v>
          </cell>
          <cell r="I74">
            <v>1</v>
          </cell>
          <cell r="J74">
            <v>1</v>
          </cell>
          <cell r="M74">
            <v>1</v>
          </cell>
          <cell r="N74">
            <v>1</v>
          </cell>
          <cell r="O74">
            <v>1</v>
          </cell>
          <cell r="S74">
            <v>1</v>
          </cell>
          <cell r="T74">
            <v>1</v>
          </cell>
          <cell r="U74">
            <v>2</v>
          </cell>
          <cell r="V74">
            <v>1</v>
          </cell>
          <cell r="W74">
            <v>4.5</v>
          </cell>
          <cell r="X74">
            <v>3</v>
          </cell>
          <cell r="Y74">
            <v>3</v>
          </cell>
          <cell r="Z74">
            <v>1</v>
          </cell>
          <cell r="AA74">
            <v>4</v>
          </cell>
          <cell r="AB74">
            <v>8</v>
          </cell>
          <cell r="AC74">
            <v>3</v>
          </cell>
          <cell r="AD74">
            <v>15</v>
          </cell>
          <cell r="AF74">
            <v>1</v>
          </cell>
          <cell r="AG74">
            <v>2</v>
          </cell>
          <cell r="AH74">
            <v>8</v>
          </cell>
          <cell r="AI74">
            <v>5</v>
          </cell>
          <cell r="AL74">
            <v>1</v>
          </cell>
          <cell r="AQ74">
            <v>6</v>
          </cell>
          <cell r="AR74">
            <v>6</v>
          </cell>
          <cell r="AS74">
            <v>1</v>
          </cell>
          <cell r="AT74">
            <v>0</v>
          </cell>
          <cell r="AV74">
            <v>40800</v>
          </cell>
          <cell r="AW74">
            <v>189533.42</v>
          </cell>
          <cell r="AX74">
            <v>0</v>
          </cell>
          <cell r="AY74">
            <v>0</v>
          </cell>
          <cell r="BG74">
            <v>0</v>
          </cell>
          <cell r="BH74">
            <v>0</v>
          </cell>
          <cell r="BI74">
            <v>0</v>
          </cell>
          <cell r="BR74">
            <v>0</v>
          </cell>
          <cell r="BS74">
            <v>0</v>
          </cell>
          <cell r="BT74">
            <v>111844</v>
          </cell>
          <cell r="BU74">
            <v>0</v>
          </cell>
          <cell r="BW74">
            <v>0</v>
          </cell>
          <cell r="BX74">
            <v>5350</v>
          </cell>
          <cell r="BY74">
            <v>2404</v>
          </cell>
          <cell r="BZ74">
            <v>2090</v>
          </cell>
          <cell r="CA74">
            <v>2090</v>
          </cell>
          <cell r="CB74">
            <v>2404</v>
          </cell>
          <cell r="CC74">
            <v>8360</v>
          </cell>
          <cell r="CF74">
            <v>0</v>
          </cell>
          <cell r="CG74">
            <v>0</v>
          </cell>
          <cell r="CJ74">
            <v>0</v>
          </cell>
          <cell r="CK74">
            <v>0</v>
          </cell>
          <cell r="CL74">
            <v>41800</v>
          </cell>
          <cell r="CM74">
            <v>103200</v>
          </cell>
          <cell r="CN74">
            <v>5378</v>
          </cell>
          <cell r="CO74">
            <v>0</v>
          </cell>
          <cell r="CP74">
            <v>0</v>
          </cell>
          <cell r="CQ74">
            <v>0</v>
          </cell>
          <cell r="CR74">
            <v>0</v>
          </cell>
          <cell r="CS74">
            <v>0</v>
          </cell>
          <cell r="CT74">
            <v>0</v>
          </cell>
          <cell r="CU74">
            <v>0</v>
          </cell>
          <cell r="CV74">
            <v>0</v>
          </cell>
          <cell r="CX74">
            <v>23725</v>
          </cell>
          <cell r="CY74">
            <v>0</v>
          </cell>
          <cell r="CZ74">
            <v>0</v>
          </cell>
          <cell r="DA74">
            <v>0</v>
          </cell>
          <cell r="DB74">
            <v>112569</v>
          </cell>
          <cell r="DC74">
            <v>7112443.4199999999</v>
          </cell>
          <cell r="DD74">
            <v>242135.14</v>
          </cell>
          <cell r="DE74">
            <v>187545</v>
          </cell>
          <cell r="DF74">
            <v>82.5</v>
          </cell>
          <cell r="DH74">
            <v>75</v>
          </cell>
          <cell r="DI74">
            <v>7.5</v>
          </cell>
          <cell r="DJ74">
            <v>69.5</v>
          </cell>
          <cell r="DK74">
            <v>66</v>
          </cell>
          <cell r="DL74">
            <v>3.5</v>
          </cell>
          <cell r="DM74">
            <v>0</v>
          </cell>
          <cell r="DN74">
            <v>13</v>
          </cell>
          <cell r="DO74">
            <v>309</v>
          </cell>
          <cell r="DP74">
            <v>20.6</v>
          </cell>
        </row>
        <row r="75">
          <cell r="A75">
            <v>285</v>
          </cell>
          <cell r="B75" t="str">
            <v>Moten</v>
          </cell>
          <cell r="C75" t="str">
            <v>ES</v>
          </cell>
          <cell r="D75">
            <v>8</v>
          </cell>
          <cell r="E75">
            <v>238</v>
          </cell>
          <cell r="F75">
            <v>0.90800000000000003</v>
          </cell>
          <cell r="G75">
            <v>216</v>
          </cell>
          <cell r="H75">
            <v>1</v>
          </cell>
          <cell r="I75">
            <v>1</v>
          </cell>
          <cell r="M75">
            <v>0.5</v>
          </cell>
          <cell r="N75">
            <v>1</v>
          </cell>
          <cell r="S75">
            <v>1</v>
          </cell>
          <cell r="T75">
            <v>1</v>
          </cell>
          <cell r="U75">
            <v>1</v>
          </cell>
          <cell r="V75">
            <v>0.5</v>
          </cell>
          <cell r="W75">
            <v>3</v>
          </cell>
          <cell r="Y75">
            <v>2</v>
          </cell>
          <cell r="Z75">
            <v>1</v>
          </cell>
          <cell r="AA75">
            <v>2</v>
          </cell>
          <cell r="AB75">
            <v>5</v>
          </cell>
          <cell r="AC75">
            <v>2</v>
          </cell>
          <cell r="AD75">
            <v>9</v>
          </cell>
          <cell r="AF75">
            <v>1</v>
          </cell>
          <cell r="AG75">
            <v>1</v>
          </cell>
          <cell r="AH75">
            <v>5</v>
          </cell>
          <cell r="AI75">
            <v>1</v>
          </cell>
          <cell r="AM75">
            <v>0.05</v>
          </cell>
          <cell r="AQ75">
            <v>5</v>
          </cell>
          <cell r="AR75">
            <v>5</v>
          </cell>
          <cell r="AS75">
            <v>1</v>
          </cell>
          <cell r="AT75">
            <v>0</v>
          </cell>
          <cell r="AV75">
            <v>40800</v>
          </cell>
          <cell r="AW75">
            <v>214568.14500000002</v>
          </cell>
          <cell r="AX75">
            <v>0</v>
          </cell>
          <cell r="AY75">
            <v>0</v>
          </cell>
          <cell r="BD75">
            <v>1</v>
          </cell>
          <cell r="BG75">
            <v>0</v>
          </cell>
          <cell r="BH75">
            <v>0</v>
          </cell>
          <cell r="BI75">
            <v>0</v>
          </cell>
          <cell r="BR75">
            <v>0</v>
          </cell>
          <cell r="BS75">
            <v>0</v>
          </cell>
          <cell r="BT75">
            <v>111844</v>
          </cell>
          <cell r="BU75">
            <v>0</v>
          </cell>
          <cell r="BW75">
            <v>75000</v>
          </cell>
          <cell r="BX75">
            <v>8692</v>
          </cell>
          <cell r="BY75">
            <v>1369</v>
          </cell>
          <cell r="BZ75">
            <v>1190</v>
          </cell>
          <cell r="CA75">
            <v>1190</v>
          </cell>
          <cell r="CB75">
            <v>1369</v>
          </cell>
          <cell r="CC75">
            <v>4760</v>
          </cell>
          <cell r="CF75">
            <v>0</v>
          </cell>
          <cell r="CG75">
            <v>0</v>
          </cell>
          <cell r="CJ75">
            <v>0</v>
          </cell>
          <cell r="CK75">
            <v>0</v>
          </cell>
          <cell r="CL75">
            <v>23800</v>
          </cell>
          <cell r="CM75">
            <v>59137</v>
          </cell>
          <cell r="CN75">
            <v>4928</v>
          </cell>
          <cell r="CO75">
            <v>0</v>
          </cell>
          <cell r="CP75">
            <v>0</v>
          </cell>
          <cell r="CQ75">
            <v>0</v>
          </cell>
          <cell r="CR75">
            <v>0</v>
          </cell>
          <cell r="CS75">
            <v>0</v>
          </cell>
          <cell r="CT75">
            <v>0</v>
          </cell>
          <cell r="CU75">
            <v>0</v>
          </cell>
          <cell r="CV75">
            <v>0</v>
          </cell>
          <cell r="CX75">
            <v>31850</v>
          </cell>
          <cell r="CY75">
            <v>0</v>
          </cell>
          <cell r="CZ75">
            <v>486950</v>
          </cell>
          <cell r="DA75">
            <v>112569</v>
          </cell>
          <cell r="DB75">
            <v>0</v>
          </cell>
          <cell r="DC75">
            <v>5003592.1449999996</v>
          </cell>
          <cell r="DD75">
            <v>172473.57</v>
          </cell>
          <cell r="DE75">
            <v>155324</v>
          </cell>
          <cell r="DF75">
            <v>51.05</v>
          </cell>
          <cell r="DH75">
            <v>51.045454545454547</v>
          </cell>
          <cell r="DI75">
            <v>4.5454545454504114E-3</v>
          </cell>
          <cell r="DJ75">
            <v>40.049999999999997</v>
          </cell>
          <cell r="DK75">
            <v>44.045454545454547</v>
          </cell>
          <cell r="DL75">
            <v>-3.9954545454545496</v>
          </cell>
          <cell r="DM75">
            <v>0</v>
          </cell>
          <cell r="DN75">
            <v>11</v>
          </cell>
          <cell r="DO75">
            <v>165</v>
          </cell>
          <cell r="DP75">
            <v>18.333333333333332</v>
          </cell>
        </row>
        <row r="76">
          <cell r="A76">
            <v>287</v>
          </cell>
          <cell r="B76" t="str">
            <v>Murch</v>
          </cell>
          <cell r="C76" t="str">
            <v>ES</v>
          </cell>
          <cell r="D76">
            <v>3</v>
          </cell>
          <cell r="E76">
            <v>614</v>
          </cell>
          <cell r="F76">
            <v>5.5E-2</v>
          </cell>
          <cell r="G76">
            <v>34</v>
          </cell>
          <cell r="H76">
            <v>1</v>
          </cell>
          <cell r="I76">
            <v>1</v>
          </cell>
          <cell r="J76">
            <v>1.5</v>
          </cell>
          <cell r="M76">
            <v>1</v>
          </cell>
          <cell r="N76">
            <v>1</v>
          </cell>
          <cell r="O76">
            <v>1.5</v>
          </cell>
          <cell r="S76">
            <v>1</v>
          </cell>
          <cell r="T76">
            <v>1</v>
          </cell>
          <cell r="U76">
            <v>4</v>
          </cell>
          <cell r="V76">
            <v>1</v>
          </cell>
          <cell r="W76">
            <v>5.5</v>
          </cell>
          <cell r="AA76">
            <v>3</v>
          </cell>
          <cell r="AB76">
            <v>3</v>
          </cell>
          <cell r="AC76">
            <v>4</v>
          </cell>
          <cell r="AD76">
            <v>25</v>
          </cell>
          <cell r="AF76">
            <v>1</v>
          </cell>
          <cell r="AG76">
            <v>1</v>
          </cell>
          <cell r="AH76">
            <v>8</v>
          </cell>
          <cell r="AI76">
            <v>4</v>
          </cell>
          <cell r="AL76">
            <v>4</v>
          </cell>
          <cell r="AT76">
            <v>0</v>
          </cell>
          <cell r="AV76">
            <v>0</v>
          </cell>
          <cell r="AW76">
            <v>0</v>
          </cell>
          <cell r="AX76">
            <v>15350</v>
          </cell>
          <cell r="AY76">
            <v>0</v>
          </cell>
          <cell r="BG76">
            <v>0</v>
          </cell>
          <cell r="BH76">
            <v>0</v>
          </cell>
          <cell r="BI76">
            <v>0</v>
          </cell>
          <cell r="BR76">
            <v>0</v>
          </cell>
          <cell r="BS76">
            <v>0</v>
          </cell>
          <cell r="BT76">
            <v>111844</v>
          </cell>
          <cell r="BU76">
            <v>0</v>
          </cell>
          <cell r="BW76">
            <v>0</v>
          </cell>
          <cell r="BX76">
            <v>0</v>
          </cell>
          <cell r="BY76">
            <v>3531</v>
          </cell>
          <cell r="BZ76">
            <v>3070</v>
          </cell>
          <cell r="CA76">
            <v>3070</v>
          </cell>
          <cell r="CB76">
            <v>3531</v>
          </cell>
          <cell r="CC76">
            <v>12280</v>
          </cell>
          <cell r="CF76">
            <v>0</v>
          </cell>
          <cell r="CG76">
            <v>0</v>
          </cell>
          <cell r="CJ76">
            <v>0</v>
          </cell>
          <cell r="CK76">
            <v>0</v>
          </cell>
          <cell r="CL76">
            <v>61400</v>
          </cell>
          <cell r="CM76">
            <v>112540</v>
          </cell>
          <cell r="CN76">
            <v>7082</v>
          </cell>
          <cell r="CO76">
            <v>0</v>
          </cell>
          <cell r="CP76">
            <v>0</v>
          </cell>
          <cell r="CQ76">
            <v>0</v>
          </cell>
          <cell r="CR76">
            <v>0</v>
          </cell>
          <cell r="CS76">
            <v>0</v>
          </cell>
          <cell r="CT76">
            <v>0</v>
          </cell>
          <cell r="CU76">
            <v>0</v>
          </cell>
          <cell r="CV76">
            <v>0</v>
          </cell>
          <cell r="CX76">
            <v>5600</v>
          </cell>
          <cell r="CY76">
            <v>0</v>
          </cell>
          <cell r="CZ76">
            <v>0</v>
          </cell>
          <cell r="DA76">
            <v>0</v>
          </cell>
          <cell r="DB76">
            <v>0</v>
          </cell>
          <cell r="DC76">
            <v>7329374</v>
          </cell>
          <cell r="DD76">
            <v>60648.07</v>
          </cell>
          <cell r="DE76">
            <v>112569</v>
          </cell>
          <cell r="DF76">
            <v>72.5</v>
          </cell>
          <cell r="DH76">
            <v>73.200000000000017</v>
          </cell>
          <cell r="DI76">
            <v>-0.70000000000001705</v>
          </cell>
          <cell r="DJ76">
            <v>72.5</v>
          </cell>
          <cell r="DK76">
            <v>73.200000000000017</v>
          </cell>
          <cell r="DL76">
            <v>-0.70000000000001705</v>
          </cell>
          <cell r="DM76">
            <v>0</v>
          </cell>
          <cell r="DN76">
            <v>0</v>
          </cell>
          <cell r="DO76">
            <v>556</v>
          </cell>
          <cell r="DP76">
            <v>22.24</v>
          </cell>
        </row>
        <row r="77">
          <cell r="A77">
            <v>288</v>
          </cell>
          <cell r="B77" t="str">
            <v>Nalle</v>
          </cell>
          <cell r="C77" t="str">
            <v>ES</v>
          </cell>
          <cell r="D77">
            <v>7</v>
          </cell>
          <cell r="E77">
            <v>326</v>
          </cell>
          <cell r="F77">
            <v>0.755</v>
          </cell>
          <cell r="G77">
            <v>246</v>
          </cell>
          <cell r="H77">
            <v>1</v>
          </cell>
          <cell r="I77">
            <v>1</v>
          </cell>
          <cell r="J77">
            <v>0.8</v>
          </cell>
          <cell r="M77">
            <v>1</v>
          </cell>
          <cell r="N77">
            <v>1</v>
          </cell>
          <cell r="S77">
            <v>1</v>
          </cell>
          <cell r="T77">
            <v>1</v>
          </cell>
          <cell r="U77">
            <v>2</v>
          </cell>
          <cell r="V77">
            <v>1</v>
          </cell>
          <cell r="W77">
            <v>3</v>
          </cell>
          <cell r="X77">
            <v>1</v>
          </cell>
          <cell r="Z77">
            <v>6</v>
          </cell>
          <cell r="AB77">
            <v>6</v>
          </cell>
          <cell r="AC77">
            <v>2</v>
          </cell>
          <cell r="AD77">
            <v>12</v>
          </cell>
          <cell r="AF77">
            <v>1</v>
          </cell>
          <cell r="AG77">
            <v>1</v>
          </cell>
          <cell r="AH77">
            <v>5</v>
          </cell>
          <cell r="AI77">
            <v>1</v>
          </cell>
          <cell r="AL77">
            <v>2</v>
          </cell>
          <cell r="AT77">
            <v>0</v>
          </cell>
          <cell r="AV77">
            <v>0</v>
          </cell>
          <cell r="AW77">
            <v>147819.91</v>
          </cell>
          <cell r="AX77">
            <v>0</v>
          </cell>
          <cell r="AY77">
            <v>0</v>
          </cell>
          <cell r="BG77">
            <v>0</v>
          </cell>
          <cell r="BH77">
            <v>0</v>
          </cell>
          <cell r="BI77">
            <v>0</v>
          </cell>
          <cell r="BR77">
            <v>0</v>
          </cell>
          <cell r="BS77">
            <v>0</v>
          </cell>
          <cell r="BT77">
            <v>55922</v>
          </cell>
          <cell r="BU77">
            <v>0</v>
          </cell>
          <cell r="BW77">
            <v>0</v>
          </cell>
          <cell r="BX77">
            <v>9883</v>
          </cell>
          <cell r="BY77">
            <v>1875</v>
          </cell>
          <cell r="BZ77">
            <v>1630</v>
          </cell>
          <cell r="CA77">
            <v>1630</v>
          </cell>
          <cell r="CB77">
            <v>1875</v>
          </cell>
          <cell r="CC77">
            <v>6520</v>
          </cell>
          <cell r="CF77">
            <v>0</v>
          </cell>
          <cell r="CG77">
            <v>0</v>
          </cell>
          <cell r="CJ77">
            <v>0</v>
          </cell>
          <cell r="CK77">
            <v>0</v>
          </cell>
          <cell r="CL77">
            <v>32600</v>
          </cell>
          <cell r="CM77">
            <v>153626</v>
          </cell>
          <cell r="CN77">
            <v>5875</v>
          </cell>
          <cell r="CO77">
            <v>0</v>
          </cell>
          <cell r="CP77">
            <v>0</v>
          </cell>
          <cell r="CQ77">
            <v>0</v>
          </cell>
          <cell r="CR77">
            <v>0</v>
          </cell>
          <cell r="CS77">
            <v>0</v>
          </cell>
          <cell r="CT77">
            <v>0</v>
          </cell>
          <cell r="CU77">
            <v>0</v>
          </cell>
          <cell r="CV77">
            <v>0</v>
          </cell>
          <cell r="CX77">
            <v>29250</v>
          </cell>
          <cell r="CY77">
            <v>0</v>
          </cell>
          <cell r="CZ77">
            <v>0</v>
          </cell>
          <cell r="DA77">
            <v>0</v>
          </cell>
          <cell r="DB77">
            <v>0</v>
          </cell>
          <cell r="DC77">
            <v>5219496.91</v>
          </cell>
          <cell r="DD77">
            <v>275312.81</v>
          </cell>
          <cell r="DE77">
            <v>205784</v>
          </cell>
          <cell r="DF77">
            <v>49.8</v>
          </cell>
          <cell r="DH77">
            <v>49.4</v>
          </cell>
          <cell r="DI77">
            <v>0.39999999999999858</v>
          </cell>
          <cell r="DJ77">
            <v>49.8</v>
          </cell>
          <cell r="DK77">
            <v>49.4</v>
          </cell>
          <cell r="DL77">
            <v>0.39999999999999858</v>
          </cell>
          <cell r="DM77">
            <v>0</v>
          </cell>
          <cell r="DN77">
            <v>0</v>
          </cell>
          <cell r="DO77">
            <v>235</v>
          </cell>
          <cell r="DP77">
            <v>19.583333333333332</v>
          </cell>
        </row>
        <row r="78">
          <cell r="A78">
            <v>290</v>
          </cell>
          <cell r="B78" t="str">
            <v>Noyes</v>
          </cell>
          <cell r="C78" t="str">
            <v>ES</v>
          </cell>
          <cell r="D78">
            <v>5</v>
          </cell>
          <cell r="E78">
            <v>224</v>
          </cell>
          <cell r="F78">
            <v>0.65200000000000002</v>
          </cell>
          <cell r="G78">
            <v>146</v>
          </cell>
          <cell r="H78">
            <v>1</v>
          </cell>
          <cell r="I78">
            <v>1</v>
          </cell>
          <cell r="M78">
            <v>0.5</v>
          </cell>
          <cell r="N78">
            <v>1</v>
          </cell>
          <cell r="S78">
            <v>1</v>
          </cell>
          <cell r="T78">
            <v>1</v>
          </cell>
          <cell r="U78">
            <v>1</v>
          </cell>
          <cell r="V78">
            <v>0.5</v>
          </cell>
          <cell r="W78">
            <v>3</v>
          </cell>
          <cell r="Y78">
            <v>1</v>
          </cell>
          <cell r="Z78">
            <v>1</v>
          </cell>
          <cell r="AA78">
            <v>1</v>
          </cell>
          <cell r="AB78">
            <v>3</v>
          </cell>
          <cell r="AC78">
            <v>2</v>
          </cell>
          <cell r="AD78">
            <v>10</v>
          </cell>
          <cell r="AF78">
            <v>1</v>
          </cell>
          <cell r="AG78">
            <v>1</v>
          </cell>
          <cell r="AH78">
            <v>7</v>
          </cell>
          <cell r="AI78">
            <v>5</v>
          </cell>
          <cell r="AL78">
            <v>2</v>
          </cell>
          <cell r="AQ78">
            <v>4</v>
          </cell>
          <cell r="AR78">
            <v>4</v>
          </cell>
          <cell r="AS78">
            <v>1</v>
          </cell>
          <cell r="AT78">
            <v>0</v>
          </cell>
          <cell r="AV78">
            <v>27200</v>
          </cell>
          <cell r="AW78">
            <v>101567.79000000001</v>
          </cell>
          <cell r="AX78">
            <v>0</v>
          </cell>
          <cell r="AY78">
            <v>0</v>
          </cell>
          <cell r="BG78">
            <v>0</v>
          </cell>
          <cell r="BH78">
            <v>0</v>
          </cell>
          <cell r="BI78">
            <v>0</v>
          </cell>
          <cell r="BR78">
            <v>0</v>
          </cell>
          <cell r="BS78">
            <v>0</v>
          </cell>
          <cell r="BT78">
            <v>55922</v>
          </cell>
          <cell r="BU78">
            <v>0</v>
          </cell>
          <cell r="BW78">
            <v>0</v>
          </cell>
          <cell r="BX78">
            <v>2915</v>
          </cell>
          <cell r="BY78">
            <v>1288</v>
          </cell>
          <cell r="BZ78">
            <v>1120</v>
          </cell>
          <cell r="CA78">
            <v>1120</v>
          </cell>
          <cell r="CB78">
            <v>1288</v>
          </cell>
          <cell r="CC78">
            <v>4480</v>
          </cell>
          <cell r="CF78">
            <v>0</v>
          </cell>
          <cell r="CG78">
            <v>0</v>
          </cell>
          <cell r="CJ78">
            <v>0</v>
          </cell>
          <cell r="CK78">
            <v>0</v>
          </cell>
          <cell r="CL78">
            <v>22400</v>
          </cell>
          <cell r="CM78">
            <v>65699</v>
          </cell>
          <cell r="CN78">
            <v>3978</v>
          </cell>
          <cell r="CO78">
            <v>0</v>
          </cell>
          <cell r="CP78">
            <v>0</v>
          </cell>
          <cell r="CQ78">
            <v>0</v>
          </cell>
          <cell r="CR78">
            <v>0</v>
          </cell>
          <cell r="CS78">
            <v>0</v>
          </cell>
          <cell r="CT78">
            <v>0</v>
          </cell>
          <cell r="CU78">
            <v>0</v>
          </cell>
          <cell r="CV78">
            <v>0</v>
          </cell>
          <cell r="CX78">
            <v>17550</v>
          </cell>
          <cell r="CY78">
            <v>0</v>
          </cell>
          <cell r="CZ78">
            <v>0</v>
          </cell>
          <cell r="DA78">
            <v>0</v>
          </cell>
          <cell r="DB78">
            <v>112569</v>
          </cell>
          <cell r="DC78">
            <v>4537158.79</v>
          </cell>
          <cell r="DD78">
            <v>106431.58</v>
          </cell>
          <cell r="DE78">
            <v>0</v>
          </cell>
          <cell r="DF78">
            <v>53</v>
          </cell>
          <cell r="DH78">
            <v>49</v>
          </cell>
          <cell r="DI78">
            <v>4</v>
          </cell>
          <cell r="DJ78">
            <v>44</v>
          </cell>
          <cell r="DK78">
            <v>43</v>
          </cell>
          <cell r="DL78">
            <v>1</v>
          </cell>
          <cell r="DM78">
            <v>0</v>
          </cell>
          <cell r="DN78">
            <v>9</v>
          </cell>
          <cell r="DO78">
            <v>175</v>
          </cell>
          <cell r="DP78">
            <v>17.5</v>
          </cell>
        </row>
        <row r="79">
          <cell r="A79">
            <v>292</v>
          </cell>
          <cell r="B79" t="str">
            <v>Oyster-Adams Bilingual</v>
          </cell>
          <cell r="C79" t="str">
            <v>EC</v>
          </cell>
          <cell r="D79">
            <v>3</v>
          </cell>
          <cell r="E79">
            <v>761</v>
          </cell>
          <cell r="F79">
            <v>0.112</v>
          </cell>
          <cell r="G79">
            <v>85</v>
          </cell>
          <cell r="H79">
            <v>1</v>
          </cell>
          <cell r="I79">
            <v>2</v>
          </cell>
          <cell r="J79">
            <v>2.1</v>
          </cell>
          <cell r="K79">
            <v>1</v>
          </cell>
          <cell r="M79">
            <v>1</v>
          </cell>
          <cell r="N79">
            <v>1</v>
          </cell>
          <cell r="O79">
            <v>1.9</v>
          </cell>
          <cell r="S79">
            <v>2</v>
          </cell>
          <cell r="T79">
            <v>1</v>
          </cell>
          <cell r="U79">
            <v>4</v>
          </cell>
          <cell r="V79">
            <v>2</v>
          </cell>
          <cell r="W79">
            <v>5.5</v>
          </cell>
          <cell r="X79">
            <v>1</v>
          </cell>
          <cell r="AA79">
            <v>2</v>
          </cell>
          <cell r="AB79">
            <v>2</v>
          </cell>
          <cell r="AC79">
            <v>4</v>
          </cell>
          <cell r="AD79">
            <v>35.200000000000003</v>
          </cell>
          <cell r="AF79">
            <v>1</v>
          </cell>
          <cell r="AG79">
            <v>2</v>
          </cell>
          <cell r="AH79">
            <v>7</v>
          </cell>
          <cell r="AL79">
            <v>9</v>
          </cell>
          <cell r="AO79">
            <v>2</v>
          </cell>
          <cell r="AT79">
            <v>0</v>
          </cell>
          <cell r="AV79">
            <v>0</v>
          </cell>
          <cell r="AW79">
            <v>0</v>
          </cell>
          <cell r="AX79">
            <v>19025</v>
          </cell>
          <cell r="AY79">
            <v>0</v>
          </cell>
          <cell r="BG79">
            <v>0</v>
          </cell>
          <cell r="BH79">
            <v>0</v>
          </cell>
          <cell r="BI79">
            <v>0</v>
          </cell>
          <cell r="BP79">
            <v>2</v>
          </cell>
          <cell r="BR79">
            <v>23000</v>
          </cell>
          <cell r="BS79">
            <v>0</v>
          </cell>
          <cell r="BT79">
            <v>167765</v>
          </cell>
          <cell r="BU79">
            <v>100000</v>
          </cell>
          <cell r="BW79">
            <v>0</v>
          </cell>
          <cell r="BX79">
            <v>0</v>
          </cell>
          <cell r="BY79">
            <v>5138</v>
          </cell>
          <cell r="BZ79">
            <v>4910</v>
          </cell>
          <cell r="CA79">
            <v>4910</v>
          </cell>
          <cell r="CB79">
            <v>5647</v>
          </cell>
          <cell r="CC79">
            <v>15220</v>
          </cell>
          <cell r="CF79">
            <v>0</v>
          </cell>
          <cell r="CG79">
            <v>0</v>
          </cell>
          <cell r="CJ79">
            <v>0</v>
          </cell>
          <cell r="CK79">
            <v>0</v>
          </cell>
          <cell r="CL79">
            <v>76100</v>
          </cell>
          <cell r="CM79">
            <v>154464</v>
          </cell>
          <cell r="CN79">
            <v>8099</v>
          </cell>
          <cell r="CO79">
            <v>0</v>
          </cell>
          <cell r="CP79">
            <v>0</v>
          </cell>
          <cell r="CQ79">
            <v>0</v>
          </cell>
          <cell r="CR79">
            <v>0</v>
          </cell>
          <cell r="CS79">
            <v>0</v>
          </cell>
          <cell r="CT79">
            <v>500000</v>
          </cell>
          <cell r="CU79">
            <v>0</v>
          </cell>
          <cell r="CV79">
            <v>0</v>
          </cell>
          <cell r="CX79">
            <v>7175</v>
          </cell>
          <cell r="CY79">
            <v>0</v>
          </cell>
          <cell r="CZ79">
            <v>0</v>
          </cell>
          <cell r="DA79">
            <v>0</v>
          </cell>
          <cell r="DB79">
            <v>337707</v>
          </cell>
          <cell r="DC79">
            <v>10923183</v>
          </cell>
          <cell r="DD79">
            <v>90210.68</v>
          </cell>
          <cell r="DE79">
            <v>168854</v>
          </cell>
          <cell r="DF79">
            <v>91.7</v>
          </cell>
          <cell r="DH79">
            <v>95.100000000000009</v>
          </cell>
          <cell r="DI79">
            <v>-3.4000000000000057</v>
          </cell>
          <cell r="DJ79">
            <v>91.7</v>
          </cell>
          <cell r="DK79">
            <v>95.100000000000009</v>
          </cell>
          <cell r="DL79">
            <v>-3.4000000000000057</v>
          </cell>
          <cell r="DM79">
            <v>0</v>
          </cell>
          <cell r="DN79">
            <v>0</v>
          </cell>
          <cell r="DO79">
            <v>722</v>
          </cell>
          <cell r="DP79">
            <v>19.408602150537632</v>
          </cell>
        </row>
        <row r="80">
          <cell r="A80">
            <v>294</v>
          </cell>
          <cell r="B80" t="str">
            <v>Patterson</v>
          </cell>
          <cell r="C80" t="str">
            <v>ES</v>
          </cell>
          <cell r="D80">
            <v>8</v>
          </cell>
          <cell r="E80">
            <v>314</v>
          </cell>
          <cell r="F80">
            <v>0.85699999999999998</v>
          </cell>
          <cell r="G80">
            <v>269</v>
          </cell>
          <cell r="H80">
            <v>1</v>
          </cell>
          <cell r="I80">
            <v>1</v>
          </cell>
          <cell r="J80">
            <v>0.8</v>
          </cell>
          <cell r="M80">
            <v>1</v>
          </cell>
          <cell r="N80">
            <v>1</v>
          </cell>
          <cell r="S80">
            <v>1</v>
          </cell>
          <cell r="T80">
            <v>1</v>
          </cell>
          <cell r="U80">
            <v>2</v>
          </cell>
          <cell r="V80">
            <v>1</v>
          </cell>
          <cell r="W80">
            <v>3</v>
          </cell>
          <cell r="X80">
            <v>1.5</v>
          </cell>
          <cell r="Y80">
            <v>2</v>
          </cell>
          <cell r="AA80">
            <v>2</v>
          </cell>
          <cell r="AB80">
            <v>4</v>
          </cell>
          <cell r="AC80">
            <v>2</v>
          </cell>
          <cell r="AD80">
            <v>12</v>
          </cell>
          <cell r="AF80">
            <v>1</v>
          </cell>
          <cell r="AG80">
            <v>1</v>
          </cell>
          <cell r="AH80">
            <v>7</v>
          </cell>
          <cell r="AI80">
            <v>7</v>
          </cell>
          <cell r="AM80">
            <v>0.05</v>
          </cell>
          <cell r="AQ80">
            <v>8</v>
          </cell>
          <cell r="AR80">
            <v>8</v>
          </cell>
          <cell r="AS80">
            <v>1</v>
          </cell>
          <cell r="AT80">
            <v>0</v>
          </cell>
          <cell r="AV80">
            <v>54400</v>
          </cell>
          <cell r="AW80">
            <v>249028.39500000002</v>
          </cell>
          <cell r="AX80">
            <v>0</v>
          </cell>
          <cell r="AY80">
            <v>0</v>
          </cell>
          <cell r="BD80">
            <v>1</v>
          </cell>
          <cell r="BG80">
            <v>0</v>
          </cell>
          <cell r="BH80">
            <v>0</v>
          </cell>
          <cell r="BI80">
            <v>0</v>
          </cell>
          <cell r="BR80">
            <v>0</v>
          </cell>
          <cell r="BS80">
            <v>0</v>
          </cell>
          <cell r="BT80">
            <v>111844</v>
          </cell>
          <cell r="BU80">
            <v>0</v>
          </cell>
          <cell r="BW80">
            <v>75000</v>
          </cell>
          <cell r="BX80">
            <v>10812</v>
          </cell>
          <cell r="BY80">
            <v>1806</v>
          </cell>
          <cell r="BZ80">
            <v>1570</v>
          </cell>
          <cell r="CA80">
            <v>1570</v>
          </cell>
          <cell r="CB80">
            <v>1806</v>
          </cell>
          <cell r="CC80">
            <v>6280</v>
          </cell>
          <cell r="CF80">
            <v>0</v>
          </cell>
          <cell r="CG80">
            <v>0</v>
          </cell>
          <cell r="CJ80">
            <v>0</v>
          </cell>
          <cell r="CK80">
            <v>0</v>
          </cell>
          <cell r="CL80">
            <v>31400</v>
          </cell>
          <cell r="CM80">
            <v>76591</v>
          </cell>
          <cell r="CN80">
            <v>4924</v>
          </cell>
          <cell r="CO80">
            <v>0</v>
          </cell>
          <cell r="CP80">
            <v>0</v>
          </cell>
          <cell r="CQ80">
            <v>0</v>
          </cell>
          <cell r="CR80">
            <v>0</v>
          </cell>
          <cell r="CS80">
            <v>0</v>
          </cell>
          <cell r="CT80">
            <v>0</v>
          </cell>
          <cell r="CU80">
            <v>0</v>
          </cell>
          <cell r="CV80">
            <v>0</v>
          </cell>
          <cell r="CX80">
            <v>27950</v>
          </cell>
          <cell r="CY80">
            <v>0</v>
          </cell>
          <cell r="CZ80">
            <v>791309</v>
          </cell>
          <cell r="DA80">
            <v>112569</v>
          </cell>
          <cell r="DB80">
            <v>0</v>
          </cell>
          <cell r="DC80">
            <v>6493746.3949999996</v>
          </cell>
          <cell r="DD80">
            <v>134556.64000000001</v>
          </cell>
          <cell r="DE80">
            <v>196265.3</v>
          </cell>
          <cell r="DF80">
            <v>70.349999999999994</v>
          </cell>
          <cell r="DH80">
            <v>74.545454545454561</v>
          </cell>
          <cell r="DI80">
            <v>-4.1954545454545666</v>
          </cell>
          <cell r="DJ80">
            <v>53.349999999999994</v>
          </cell>
          <cell r="DK80">
            <v>64.545454545454561</v>
          </cell>
          <cell r="DL80">
            <v>-11.195454545454567</v>
          </cell>
          <cell r="DM80">
            <v>0</v>
          </cell>
          <cell r="DN80">
            <v>17</v>
          </cell>
          <cell r="DO80">
            <v>247</v>
          </cell>
          <cell r="DP80">
            <v>20.583333333333332</v>
          </cell>
        </row>
        <row r="81">
          <cell r="A81">
            <v>295</v>
          </cell>
          <cell r="B81" t="str">
            <v>Payne</v>
          </cell>
          <cell r="C81" t="str">
            <v>ES</v>
          </cell>
          <cell r="D81">
            <v>6</v>
          </cell>
          <cell r="E81">
            <v>324</v>
          </cell>
          <cell r="F81">
            <v>0.47799999999999998</v>
          </cell>
          <cell r="G81">
            <v>155</v>
          </cell>
          <cell r="H81">
            <v>1</v>
          </cell>
          <cell r="I81">
            <v>1</v>
          </cell>
          <cell r="J81">
            <v>0.8</v>
          </cell>
          <cell r="M81">
            <v>1</v>
          </cell>
          <cell r="N81">
            <v>1</v>
          </cell>
          <cell r="S81">
            <v>1</v>
          </cell>
          <cell r="T81">
            <v>1</v>
          </cell>
          <cell r="U81">
            <v>2</v>
          </cell>
          <cell r="V81">
            <v>1</v>
          </cell>
          <cell r="W81">
            <v>3</v>
          </cell>
          <cell r="Y81">
            <v>3</v>
          </cell>
          <cell r="AA81">
            <v>2</v>
          </cell>
          <cell r="AB81">
            <v>5</v>
          </cell>
          <cell r="AC81">
            <v>2</v>
          </cell>
          <cell r="AD81">
            <v>11</v>
          </cell>
          <cell r="AF81">
            <v>1</v>
          </cell>
          <cell r="AG81">
            <v>3</v>
          </cell>
          <cell r="AH81">
            <v>8</v>
          </cell>
          <cell r="AI81">
            <v>5</v>
          </cell>
          <cell r="AJ81">
            <v>2</v>
          </cell>
          <cell r="AM81">
            <v>0.27</v>
          </cell>
          <cell r="AQ81">
            <v>10</v>
          </cell>
          <cell r="AR81">
            <v>10</v>
          </cell>
          <cell r="AS81">
            <v>1</v>
          </cell>
          <cell r="AT81">
            <v>0</v>
          </cell>
          <cell r="AV81">
            <v>78200</v>
          </cell>
          <cell r="AW81">
            <v>146910.84000000003</v>
          </cell>
          <cell r="AX81">
            <v>0</v>
          </cell>
          <cell r="AY81">
            <v>0</v>
          </cell>
          <cell r="BG81">
            <v>0</v>
          </cell>
          <cell r="BH81">
            <v>0</v>
          </cell>
          <cell r="BI81">
            <v>0</v>
          </cell>
          <cell r="BR81">
            <v>0</v>
          </cell>
          <cell r="BS81">
            <v>0</v>
          </cell>
          <cell r="BT81">
            <v>55922</v>
          </cell>
          <cell r="BU81">
            <v>0</v>
          </cell>
          <cell r="BW81">
            <v>0</v>
          </cell>
          <cell r="BX81">
            <v>3100</v>
          </cell>
          <cell r="BY81">
            <v>1863</v>
          </cell>
          <cell r="BZ81">
            <v>1620</v>
          </cell>
          <cell r="CA81">
            <v>1620</v>
          </cell>
          <cell r="CB81">
            <v>1863</v>
          </cell>
          <cell r="CC81">
            <v>6480</v>
          </cell>
          <cell r="CF81">
            <v>0</v>
          </cell>
          <cell r="CG81">
            <v>0</v>
          </cell>
          <cell r="CJ81">
            <v>0</v>
          </cell>
          <cell r="CK81">
            <v>0</v>
          </cell>
          <cell r="CL81">
            <v>32400</v>
          </cell>
          <cell r="CM81">
            <v>80890</v>
          </cell>
          <cell r="CN81">
            <v>6357</v>
          </cell>
          <cell r="CO81">
            <v>0</v>
          </cell>
          <cell r="CP81">
            <v>0</v>
          </cell>
          <cell r="CQ81">
            <v>0</v>
          </cell>
          <cell r="CR81">
            <v>0</v>
          </cell>
          <cell r="CS81">
            <v>0</v>
          </cell>
          <cell r="CT81">
            <v>0</v>
          </cell>
          <cell r="CU81">
            <v>0</v>
          </cell>
          <cell r="CV81">
            <v>0</v>
          </cell>
          <cell r="CX81">
            <v>10575</v>
          </cell>
          <cell r="CY81">
            <v>0</v>
          </cell>
          <cell r="CZ81">
            <v>0</v>
          </cell>
          <cell r="DA81">
            <v>0</v>
          </cell>
          <cell r="DB81">
            <v>0</v>
          </cell>
          <cell r="DC81">
            <v>5519879.8399999999</v>
          </cell>
          <cell r="DD81">
            <v>139567.95000000001</v>
          </cell>
          <cell r="DE81">
            <v>225138</v>
          </cell>
          <cell r="DF81">
            <v>76.069999999999993</v>
          </cell>
          <cell r="DH81">
            <v>67.25454545454545</v>
          </cell>
          <cell r="DI81">
            <v>8.8154545454545428</v>
          </cell>
          <cell r="DJ81">
            <v>55.07</v>
          </cell>
          <cell r="DK81">
            <v>55.25454545454545</v>
          </cell>
          <cell r="DL81">
            <v>-0.18454545454545013</v>
          </cell>
          <cell r="DM81">
            <v>0</v>
          </cell>
          <cell r="DN81">
            <v>21</v>
          </cell>
          <cell r="DO81">
            <v>241</v>
          </cell>
          <cell r="DP81">
            <v>21.90909090909091</v>
          </cell>
        </row>
        <row r="82">
          <cell r="A82">
            <v>301</v>
          </cell>
          <cell r="B82" t="str">
            <v>Peabody</v>
          </cell>
          <cell r="C82" t="str">
            <v>ECE</v>
          </cell>
          <cell r="D82">
            <v>6</v>
          </cell>
          <cell r="E82">
            <v>219</v>
          </cell>
          <cell r="F82">
            <v>8.6999999999999994E-2</v>
          </cell>
          <cell r="G82">
            <v>19</v>
          </cell>
          <cell r="I82">
            <v>1</v>
          </cell>
          <cell r="J82">
            <v>1</v>
          </cell>
          <cell r="M82">
            <v>0.5</v>
          </cell>
          <cell r="N82">
            <v>1</v>
          </cell>
          <cell r="S82">
            <v>1</v>
          </cell>
          <cell r="T82">
            <v>1</v>
          </cell>
          <cell r="U82">
            <v>1</v>
          </cell>
          <cell r="V82">
            <v>0.5</v>
          </cell>
          <cell r="W82">
            <v>3</v>
          </cell>
          <cell r="Y82">
            <v>4</v>
          </cell>
          <cell r="AA82">
            <v>4</v>
          </cell>
          <cell r="AB82">
            <v>8</v>
          </cell>
          <cell r="AC82">
            <v>4</v>
          </cell>
          <cell r="AD82">
            <v>4</v>
          </cell>
          <cell r="AF82">
            <v>1</v>
          </cell>
          <cell r="AG82">
            <v>1</v>
          </cell>
          <cell r="AH82">
            <v>1</v>
          </cell>
          <cell r="AM82">
            <v>0.05</v>
          </cell>
          <cell r="AT82">
            <v>0</v>
          </cell>
          <cell r="AV82">
            <v>0</v>
          </cell>
          <cell r="AW82">
            <v>0</v>
          </cell>
          <cell r="AX82">
            <v>5475</v>
          </cell>
          <cell r="AY82">
            <v>0</v>
          </cell>
          <cell r="BG82">
            <v>0</v>
          </cell>
          <cell r="BH82">
            <v>0</v>
          </cell>
          <cell r="BI82">
            <v>0</v>
          </cell>
          <cell r="BR82">
            <v>0</v>
          </cell>
          <cell r="BS82">
            <v>0</v>
          </cell>
          <cell r="BT82">
            <v>55922</v>
          </cell>
          <cell r="BU82">
            <v>0</v>
          </cell>
          <cell r="BW82">
            <v>0</v>
          </cell>
          <cell r="BX82">
            <v>0</v>
          </cell>
          <cell r="BY82">
            <v>1259</v>
          </cell>
          <cell r="BZ82">
            <v>1095</v>
          </cell>
          <cell r="CA82">
            <v>1095</v>
          </cell>
          <cell r="CB82">
            <v>1259</v>
          </cell>
          <cell r="CC82">
            <v>4380</v>
          </cell>
          <cell r="CF82">
            <v>0</v>
          </cell>
          <cell r="CG82">
            <v>0</v>
          </cell>
          <cell r="CJ82">
            <v>0</v>
          </cell>
          <cell r="CK82">
            <v>0</v>
          </cell>
          <cell r="CL82">
            <v>21900</v>
          </cell>
          <cell r="CM82">
            <v>50053</v>
          </cell>
          <cell r="CN82">
            <v>4181</v>
          </cell>
          <cell r="CO82">
            <v>0</v>
          </cell>
          <cell r="CP82">
            <v>0</v>
          </cell>
          <cell r="CQ82">
            <v>0</v>
          </cell>
          <cell r="CR82">
            <v>0</v>
          </cell>
          <cell r="CS82">
            <v>0</v>
          </cell>
          <cell r="CT82">
            <v>0</v>
          </cell>
          <cell r="CU82">
            <v>0</v>
          </cell>
          <cell r="CV82">
            <v>0</v>
          </cell>
          <cell r="CX82">
            <v>2544</v>
          </cell>
          <cell r="CY82">
            <v>0</v>
          </cell>
          <cell r="CZ82">
            <v>0</v>
          </cell>
          <cell r="DA82">
            <v>0</v>
          </cell>
          <cell r="DB82">
            <v>-112569</v>
          </cell>
          <cell r="DC82">
            <v>3243629.5</v>
          </cell>
          <cell r="DD82">
            <v>46680</v>
          </cell>
          <cell r="DE82">
            <v>0</v>
          </cell>
          <cell r="DF82">
            <v>37.049999999999997</v>
          </cell>
          <cell r="DH82">
            <v>35.545454545454547</v>
          </cell>
          <cell r="DI82">
            <v>1.5045454545454504</v>
          </cell>
          <cell r="DJ82">
            <v>37.049999999999997</v>
          </cell>
          <cell r="DK82">
            <v>35.545454545454547</v>
          </cell>
          <cell r="DL82">
            <v>1.5045454545454504</v>
          </cell>
          <cell r="DM82">
            <v>0</v>
          </cell>
          <cell r="DN82">
            <v>0</v>
          </cell>
          <cell r="DO82">
            <v>81</v>
          </cell>
          <cell r="DP82">
            <v>20.25</v>
          </cell>
        </row>
        <row r="83">
          <cell r="A83">
            <v>478</v>
          </cell>
          <cell r="B83" t="str">
            <v>Phelps</v>
          </cell>
          <cell r="C83" t="str">
            <v>HS</v>
          </cell>
          <cell r="D83">
            <v>5</v>
          </cell>
          <cell r="E83">
            <v>306</v>
          </cell>
          <cell r="F83">
            <v>0.64400000000000002</v>
          </cell>
          <cell r="G83">
            <v>197</v>
          </cell>
          <cell r="H83">
            <v>1</v>
          </cell>
          <cell r="I83">
            <v>1</v>
          </cell>
          <cell r="J83">
            <v>1</v>
          </cell>
          <cell r="L83">
            <v>1.5</v>
          </cell>
          <cell r="M83">
            <v>1</v>
          </cell>
          <cell r="N83">
            <v>1</v>
          </cell>
          <cell r="P83">
            <v>1</v>
          </cell>
          <cell r="Q83">
            <v>1</v>
          </cell>
          <cell r="S83">
            <v>1</v>
          </cell>
          <cell r="T83">
            <v>1</v>
          </cell>
          <cell r="U83">
            <v>3</v>
          </cell>
          <cell r="V83">
            <v>1</v>
          </cell>
          <cell r="AD83">
            <v>12.75</v>
          </cell>
          <cell r="AE83">
            <v>4.1499999999999986</v>
          </cell>
          <cell r="AF83">
            <v>1</v>
          </cell>
          <cell r="AG83">
            <v>1</v>
          </cell>
          <cell r="AH83">
            <v>5</v>
          </cell>
          <cell r="AT83">
            <v>40000</v>
          </cell>
          <cell r="AV83">
            <v>0</v>
          </cell>
          <cell r="AW83">
            <v>138750.88999999998</v>
          </cell>
          <cell r="AX83">
            <v>0</v>
          </cell>
          <cell r="AY83">
            <v>24897</v>
          </cell>
          <cell r="BG83">
            <v>0</v>
          </cell>
          <cell r="BH83">
            <v>0</v>
          </cell>
          <cell r="BI83">
            <v>0</v>
          </cell>
          <cell r="BJ83">
            <v>1</v>
          </cell>
          <cell r="BK83">
            <v>1</v>
          </cell>
          <cell r="BL83">
            <v>1</v>
          </cell>
          <cell r="BM83">
            <v>1</v>
          </cell>
          <cell r="BR83">
            <v>0</v>
          </cell>
          <cell r="BS83">
            <v>0</v>
          </cell>
          <cell r="BT83">
            <v>244046</v>
          </cell>
          <cell r="BU83">
            <v>0</v>
          </cell>
          <cell r="BV83">
            <v>1</v>
          </cell>
          <cell r="BW83">
            <v>0</v>
          </cell>
          <cell r="BX83">
            <v>3948</v>
          </cell>
          <cell r="BY83">
            <v>8798</v>
          </cell>
          <cell r="BZ83">
            <v>4590</v>
          </cell>
          <cell r="CA83">
            <v>4590</v>
          </cell>
          <cell r="CB83">
            <v>10557</v>
          </cell>
          <cell r="CC83">
            <v>6120</v>
          </cell>
          <cell r="CF83">
            <v>0</v>
          </cell>
          <cell r="CG83">
            <v>0</v>
          </cell>
          <cell r="CJ83">
            <v>0</v>
          </cell>
          <cell r="CK83">
            <v>0</v>
          </cell>
          <cell r="CL83">
            <v>30600</v>
          </cell>
          <cell r="CM83">
            <v>67731</v>
          </cell>
          <cell r="CN83">
            <v>8217</v>
          </cell>
          <cell r="CO83">
            <v>0</v>
          </cell>
          <cell r="CP83">
            <v>0</v>
          </cell>
          <cell r="CQ83">
            <v>0</v>
          </cell>
          <cell r="CR83">
            <v>0</v>
          </cell>
          <cell r="CS83">
            <v>0</v>
          </cell>
          <cell r="CT83">
            <v>0</v>
          </cell>
          <cell r="CU83">
            <v>0</v>
          </cell>
          <cell r="CV83">
            <v>0</v>
          </cell>
          <cell r="CX83">
            <v>6075</v>
          </cell>
          <cell r="CY83">
            <v>0</v>
          </cell>
          <cell r="CZ83">
            <v>50583</v>
          </cell>
          <cell r="DA83">
            <v>85000</v>
          </cell>
          <cell r="DB83">
            <v>225140</v>
          </cell>
          <cell r="DC83">
            <v>5596755.8899999997</v>
          </cell>
          <cell r="DD83">
            <v>109571.56</v>
          </cell>
          <cell r="DE83">
            <v>81770.5</v>
          </cell>
          <cell r="DF83">
            <v>43.4</v>
          </cell>
          <cell r="DH83">
            <v>40.600000448706169</v>
          </cell>
          <cell r="DI83">
            <v>2.7999995512938298</v>
          </cell>
          <cell r="DJ83">
            <v>43.4</v>
          </cell>
          <cell r="DK83">
            <v>40.600000448706169</v>
          </cell>
          <cell r="DL83">
            <v>2.7999995512938298</v>
          </cell>
          <cell r="DM83">
            <v>0</v>
          </cell>
          <cell r="DN83">
            <v>0</v>
          </cell>
          <cell r="DO83">
            <v>306</v>
          </cell>
          <cell r="DP83">
            <v>18.106508875739646</v>
          </cell>
        </row>
        <row r="84">
          <cell r="A84">
            <v>299</v>
          </cell>
          <cell r="B84" t="str">
            <v>Plummer</v>
          </cell>
          <cell r="C84" t="str">
            <v>ES</v>
          </cell>
          <cell r="D84">
            <v>7</v>
          </cell>
          <cell r="E84">
            <v>239</v>
          </cell>
          <cell r="F84">
            <v>0.84099999999999997</v>
          </cell>
          <cell r="G84">
            <v>201</v>
          </cell>
          <cell r="H84">
            <v>1</v>
          </cell>
          <cell r="I84">
            <v>1</v>
          </cell>
          <cell r="M84">
            <v>0.5</v>
          </cell>
          <cell r="N84">
            <v>1</v>
          </cell>
          <cell r="S84">
            <v>1</v>
          </cell>
          <cell r="T84">
            <v>1</v>
          </cell>
          <cell r="U84">
            <v>1</v>
          </cell>
          <cell r="V84">
            <v>0.5</v>
          </cell>
          <cell r="W84">
            <v>3</v>
          </cell>
          <cell r="X84">
            <v>1</v>
          </cell>
          <cell r="Z84">
            <v>4</v>
          </cell>
          <cell r="AB84">
            <v>4</v>
          </cell>
          <cell r="AC84">
            <v>2</v>
          </cell>
          <cell r="AD84">
            <v>9</v>
          </cell>
          <cell r="AF84">
            <v>1</v>
          </cell>
          <cell r="AG84">
            <v>1</v>
          </cell>
          <cell r="AH84">
            <v>6</v>
          </cell>
          <cell r="AI84">
            <v>6</v>
          </cell>
          <cell r="AL84">
            <v>1</v>
          </cell>
          <cell r="AQ84">
            <v>7</v>
          </cell>
          <cell r="AR84">
            <v>7</v>
          </cell>
          <cell r="AS84">
            <v>1</v>
          </cell>
          <cell r="AT84">
            <v>0</v>
          </cell>
          <cell r="AV84">
            <v>64600</v>
          </cell>
          <cell r="AW84">
            <v>108370.65000000001</v>
          </cell>
          <cell r="AX84">
            <v>0</v>
          </cell>
          <cell r="AY84">
            <v>0</v>
          </cell>
          <cell r="BG84">
            <v>0</v>
          </cell>
          <cell r="BH84">
            <v>0</v>
          </cell>
          <cell r="BI84">
            <v>0</v>
          </cell>
          <cell r="BR84">
            <v>0</v>
          </cell>
          <cell r="BS84">
            <v>0</v>
          </cell>
          <cell r="BT84">
            <v>55922</v>
          </cell>
          <cell r="BU84">
            <v>0</v>
          </cell>
          <cell r="BW84">
            <v>0</v>
          </cell>
          <cell r="BX84">
            <v>8076</v>
          </cell>
          <cell r="BY84">
            <v>1374</v>
          </cell>
          <cell r="BZ84">
            <v>1195</v>
          </cell>
          <cell r="CA84">
            <v>1195</v>
          </cell>
          <cell r="CB84">
            <v>1374</v>
          </cell>
          <cell r="CC84">
            <v>4780</v>
          </cell>
          <cell r="CF84">
            <v>0</v>
          </cell>
          <cell r="CG84">
            <v>0</v>
          </cell>
          <cell r="CJ84">
            <v>0</v>
          </cell>
          <cell r="CK84">
            <v>0</v>
          </cell>
          <cell r="CL84">
            <v>23900</v>
          </cell>
          <cell r="CM84">
            <v>65094</v>
          </cell>
          <cell r="CN84">
            <v>4307</v>
          </cell>
          <cell r="CO84">
            <v>0</v>
          </cell>
          <cell r="CP84">
            <v>0</v>
          </cell>
          <cell r="CQ84">
            <v>0</v>
          </cell>
          <cell r="CR84">
            <v>0</v>
          </cell>
          <cell r="CS84">
            <v>0</v>
          </cell>
          <cell r="CT84">
            <v>0</v>
          </cell>
          <cell r="CU84">
            <v>0</v>
          </cell>
          <cell r="CV84">
            <v>0</v>
          </cell>
          <cell r="CX84">
            <v>25025</v>
          </cell>
          <cell r="CY84">
            <v>0</v>
          </cell>
          <cell r="CZ84">
            <v>283142</v>
          </cell>
          <cell r="DA84">
            <v>112569</v>
          </cell>
          <cell r="DB84">
            <v>168854</v>
          </cell>
          <cell r="DC84">
            <v>5013746.6500000004</v>
          </cell>
          <cell r="DD84">
            <v>169471.47</v>
          </cell>
          <cell r="DE84">
            <v>189240</v>
          </cell>
          <cell r="DF84">
            <v>60</v>
          </cell>
          <cell r="DH84">
            <v>57</v>
          </cell>
          <cell r="DI84">
            <v>3</v>
          </cell>
          <cell r="DJ84">
            <v>45</v>
          </cell>
          <cell r="DK84">
            <v>49</v>
          </cell>
          <cell r="DL84">
            <v>-4</v>
          </cell>
          <cell r="DM84">
            <v>0</v>
          </cell>
          <cell r="DN84">
            <v>15</v>
          </cell>
          <cell r="DO84">
            <v>175</v>
          </cell>
          <cell r="DP84">
            <v>19.444444444444443</v>
          </cell>
        </row>
        <row r="85">
          <cell r="A85">
            <v>300</v>
          </cell>
          <cell r="B85" t="str">
            <v>Powell</v>
          </cell>
          <cell r="C85" t="str">
            <v>ES</v>
          </cell>
          <cell r="D85">
            <v>4</v>
          </cell>
          <cell r="E85">
            <v>514</v>
          </cell>
          <cell r="F85">
            <v>0.39300000000000002</v>
          </cell>
          <cell r="G85">
            <v>202</v>
          </cell>
          <cell r="H85">
            <v>1</v>
          </cell>
          <cell r="I85">
            <v>1</v>
          </cell>
          <cell r="J85">
            <v>1.3</v>
          </cell>
          <cell r="M85">
            <v>1</v>
          </cell>
          <cell r="N85">
            <v>1</v>
          </cell>
          <cell r="O85">
            <v>1.3</v>
          </cell>
          <cell r="S85">
            <v>1</v>
          </cell>
          <cell r="T85">
            <v>1</v>
          </cell>
          <cell r="U85">
            <v>3</v>
          </cell>
          <cell r="V85">
            <v>1</v>
          </cell>
          <cell r="W85">
            <v>4.5</v>
          </cell>
          <cell r="Z85">
            <v>5</v>
          </cell>
          <cell r="AB85">
            <v>5</v>
          </cell>
          <cell r="AC85">
            <v>4</v>
          </cell>
          <cell r="AD85">
            <v>22</v>
          </cell>
          <cell r="AF85">
            <v>1</v>
          </cell>
          <cell r="AG85">
            <v>2</v>
          </cell>
          <cell r="AH85">
            <v>7</v>
          </cell>
          <cell r="AI85">
            <v>2</v>
          </cell>
          <cell r="AL85">
            <v>15</v>
          </cell>
          <cell r="AO85">
            <v>3</v>
          </cell>
          <cell r="AQ85">
            <v>14</v>
          </cell>
          <cell r="AR85">
            <v>14</v>
          </cell>
          <cell r="AT85">
            <v>0</v>
          </cell>
          <cell r="AV85">
            <v>95200</v>
          </cell>
          <cell r="AW85">
            <v>233063.74000000002</v>
          </cell>
          <cell r="AX85">
            <v>0</v>
          </cell>
          <cell r="AY85">
            <v>0</v>
          </cell>
          <cell r="BG85">
            <v>0</v>
          </cell>
          <cell r="BH85">
            <v>0</v>
          </cell>
          <cell r="BI85">
            <v>0</v>
          </cell>
          <cell r="BR85">
            <v>0</v>
          </cell>
          <cell r="BS85">
            <v>0</v>
          </cell>
          <cell r="BT85">
            <v>111844</v>
          </cell>
          <cell r="BU85">
            <v>0</v>
          </cell>
          <cell r="BW85">
            <v>0</v>
          </cell>
          <cell r="BX85">
            <v>4048</v>
          </cell>
          <cell r="BY85">
            <v>2956</v>
          </cell>
          <cell r="BZ85">
            <v>2570</v>
          </cell>
          <cell r="CA85">
            <v>2570</v>
          </cell>
          <cell r="CB85">
            <v>2956</v>
          </cell>
          <cell r="CC85">
            <v>10280</v>
          </cell>
          <cell r="CF85">
            <v>0</v>
          </cell>
          <cell r="CG85">
            <v>0</v>
          </cell>
          <cell r="CJ85">
            <v>0</v>
          </cell>
          <cell r="CK85">
            <v>0</v>
          </cell>
          <cell r="CL85">
            <v>51400</v>
          </cell>
          <cell r="CM85">
            <v>132807</v>
          </cell>
          <cell r="CN85">
            <v>4517</v>
          </cell>
          <cell r="CO85">
            <v>0</v>
          </cell>
          <cell r="CP85">
            <v>0</v>
          </cell>
          <cell r="CQ85">
            <v>0</v>
          </cell>
          <cell r="CR85">
            <v>0</v>
          </cell>
          <cell r="CS85">
            <v>0</v>
          </cell>
          <cell r="CT85">
            <v>0</v>
          </cell>
          <cell r="CU85">
            <v>0</v>
          </cell>
          <cell r="CV85">
            <v>0</v>
          </cell>
          <cell r="CX85">
            <v>27500</v>
          </cell>
          <cell r="CY85">
            <v>0</v>
          </cell>
          <cell r="CZ85">
            <v>0</v>
          </cell>
          <cell r="DA85">
            <v>0</v>
          </cell>
          <cell r="DB85">
            <v>10200</v>
          </cell>
          <cell r="DC85">
            <v>9035986.7400000002</v>
          </cell>
          <cell r="DD85">
            <v>220932.61</v>
          </cell>
          <cell r="DE85">
            <v>227087</v>
          </cell>
          <cell r="DF85">
            <v>111.1</v>
          </cell>
          <cell r="DH85">
            <v>98.600000000000009</v>
          </cell>
          <cell r="DI85">
            <v>12.499999999999986</v>
          </cell>
          <cell r="DJ85">
            <v>83.1</v>
          </cell>
          <cell r="DK85">
            <v>82.600000000000009</v>
          </cell>
          <cell r="DL85">
            <v>0.49999999999998579</v>
          </cell>
          <cell r="DM85">
            <v>0</v>
          </cell>
          <cell r="DN85">
            <v>28</v>
          </cell>
          <cell r="DO85">
            <v>433</v>
          </cell>
          <cell r="DP85">
            <v>19.681818181818183</v>
          </cell>
        </row>
        <row r="86">
          <cell r="A86">
            <v>316</v>
          </cell>
          <cell r="B86" t="str">
            <v>Randle Highlands</v>
          </cell>
          <cell r="C86" t="str">
            <v>ES</v>
          </cell>
          <cell r="D86">
            <v>7</v>
          </cell>
          <cell r="E86">
            <v>331</v>
          </cell>
          <cell r="F86">
            <v>0.57099999999999995</v>
          </cell>
          <cell r="G86">
            <v>189</v>
          </cell>
          <cell r="H86">
            <v>1</v>
          </cell>
          <cell r="I86">
            <v>1</v>
          </cell>
          <cell r="J86">
            <v>0.8</v>
          </cell>
          <cell r="M86">
            <v>1</v>
          </cell>
          <cell r="N86">
            <v>1</v>
          </cell>
          <cell r="S86">
            <v>1</v>
          </cell>
          <cell r="T86">
            <v>1</v>
          </cell>
          <cell r="U86">
            <v>2</v>
          </cell>
          <cell r="V86">
            <v>1</v>
          </cell>
          <cell r="W86">
            <v>3</v>
          </cell>
          <cell r="Y86">
            <v>2</v>
          </cell>
          <cell r="Z86">
            <v>1</v>
          </cell>
          <cell r="AA86">
            <v>2</v>
          </cell>
          <cell r="AB86">
            <v>5</v>
          </cell>
          <cell r="AC86">
            <v>2</v>
          </cell>
          <cell r="AD86">
            <v>12</v>
          </cell>
          <cell r="AF86">
            <v>1</v>
          </cell>
          <cell r="AG86">
            <v>1</v>
          </cell>
          <cell r="AH86">
            <v>5</v>
          </cell>
          <cell r="AM86">
            <v>0.14000000000000001</v>
          </cell>
          <cell r="AQ86">
            <v>5</v>
          </cell>
          <cell r="AR86">
            <v>5</v>
          </cell>
          <cell r="AS86">
            <v>1</v>
          </cell>
          <cell r="AT86">
            <v>0</v>
          </cell>
          <cell r="AV86">
            <v>51000</v>
          </cell>
          <cell r="AW86">
            <v>150086.86000000002</v>
          </cell>
          <cell r="AX86">
            <v>0</v>
          </cell>
          <cell r="AY86">
            <v>0</v>
          </cell>
          <cell r="BG86">
            <v>0</v>
          </cell>
          <cell r="BH86">
            <v>0</v>
          </cell>
          <cell r="BI86">
            <v>0</v>
          </cell>
          <cell r="BR86">
            <v>0</v>
          </cell>
          <cell r="BS86">
            <v>0</v>
          </cell>
          <cell r="BT86">
            <v>111844</v>
          </cell>
          <cell r="BU86">
            <v>0</v>
          </cell>
          <cell r="BW86">
            <v>0</v>
          </cell>
          <cell r="BX86">
            <v>3776</v>
          </cell>
          <cell r="BY86">
            <v>1903</v>
          </cell>
          <cell r="BZ86">
            <v>1655</v>
          </cell>
          <cell r="CA86">
            <v>1655</v>
          </cell>
          <cell r="CB86">
            <v>1903</v>
          </cell>
          <cell r="CC86">
            <v>6620</v>
          </cell>
          <cell r="CF86">
            <v>0</v>
          </cell>
          <cell r="CG86">
            <v>0</v>
          </cell>
          <cell r="CJ86">
            <v>0</v>
          </cell>
          <cell r="CK86">
            <v>0</v>
          </cell>
          <cell r="CL86">
            <v>33100</v>
          </cell>
          <cell r="CM86">
            <v>68604</v>
          </cell>
          <cell r="CN86">
            <v>5233</v>
          </cell>
          <cell r="CO86">
            <v>0</v>
          </cell>
          <cell r="CP86">
            <v>0</v>
          </cell>
          <cell r="CQ86">
            <v>0</v>
          </cell>
          <cell r="CR86">
            <v>0</v>
          </cell>
          <cell r="CS86">
            <v>0</v>
          </cell>
          <cell r="CT86">
            <v>0</v>
          </cell>
          <cell r="CU86">
            <v>13859</v>
          </cell>
          <cell r="CV86">
            <v>0</v>
          </cell>
          <cell r="CX86">
            <v>24375</v>
          </cell>
          <cell r="CY86">
            <v>0</v>
          </cell>
          <cell r="CZ86">
            <v>0</v>
          </cell>
          <cell r="DA86">
            <v>112569</v>
          </cell>
          <cell r="DB86">
            <v>112569</v>
          </cell>
          <cell r="DC86">
            <v>4989450.8600000003</v>
          </cell>
          <cell r="DD86">
            <v>109208.97</v>
          </cell>
          <cell r="DE86">
            <v>224569</v>
          </cell>
          <cell r="DF86">
            <v>54.94</v>
          </cell>
          <cell r="DH86">
            <v>49.945454545454545</v>
          </cell>
          <cell r="DI86">
            <v>4.9945454545454524</v>
          </cell>
          <cell r="DJ86">
            <v>43.94</v>
          </cell>
          <cell r="DK86">
            <v>43.945454545454545</v>
          </cell>
          <cell r="DL86">
            <v>-5.4545454545475991E-3</v>
          </cell>
          <cell r="DM86">
            <v>0</v>
          </cell>
          <cell r="DN86">
            <v>11</v>
          </cell>
          <cell r="DO86">
            <v>252</v>
          </cell>
          <cell r="DP86">
            <v>21</v>
          </cell>
        </row>
        <row r="87">
          <cell r="A87">
            <v>302</v>
          </cell>
          <cell r="B87" t="str">
            <v>Raymond</v>
          </cell>
          <cell r="C87" t="str">
            <v>ES</v>
          </cell>
          <cell r="D87">
            <v>4</v>
          </cell>
          <cell r="E87">
            <v>473</v>
          </cell>
          <cell r="F87">
            <v>0.53900000000000003</v>
          </cell>
          <cell r="G87">
            <v>255</v>
          </cell>
          <cell r="H87">
            <v>1</v>
          </cell>
          <cell r="I87">
            <v>1</v>
          </cell>
          <cell r="J87">
            <v>1.2</v>
          </cell>
          <cell r="M87">
            <v>1</v>
          </cell>
          <cell r="N87">
            <v>1</v>
          </cell>
          <cell r="O87">
            <v>1.2</v>
          </cell>
          <cell r="S87">
            <v>1</v>
          </cell>
          <cell r="T87">
            <v>1</v>
          </cell>
          <cell r="U87">
            <v>2</v>
          </cell>
          <cell r="V87">
            <v>1</v>
          </cell>
          <cell r="W87">
            <v>4.5</v>
          </cell>
          <cell r="X87">
            <v>0.5</v>
          </cell>
          <cell r="Y87">
            <v>3</v>
          </cell>
          <cell r="AA87">
            <v>3</v>
          </cell>
          <cell r="AB87">
            <v>6</v>
          </cell>
          <cell r="AC87">
            <v>3</v>
          </cell>
          <cell r="AD87">
            <v>20</v>
          </cell>
          <cell r="AF87">
            <v>1</v>
          </cell>
          <cell r="AG87">
            <v>2</v>
          </cell>
          <cell r="AH87">
            <v>8</v>
          </cell>
          <cell r="AI87">
            <v>6</v>
          </cell>
          <cell r="AL87">
            <v>12</v>
          </cell>
          <cell r="AO87">
            <v>2</v>
          </cell>
          <cell r="AQ87">
            <v>7</v>
          </cell>
          <cell r="AR87">
            <v>7</v>
          </cell>
          <cell r="AS87">
            <v>1</v>
          </cell>
          <cell r="AT87">
            <v>0</v>
          </cell>
          <cell r="AV87">
            <v>64600</v>
          </cell>
          <cell r="AW87">
            <v>150697.28</v>
          </cell>
          <cell r="AX87">
            <v>0</v>
          </cell>
          <cell r="AY87">
            <v>0</v>
          </cell>
          <cell r="BG87">
            <v>0</v>
          </cell>
          <cell r="BH87">
            <v>0</v>
          </cell>
          <cell r="BI87">
            <v>0</v>
          </cell>
          <cell r="BR87">
            <v>0</v>
          </cell>
          <cell r="BS87">
            <v>0</v>
          </cell>
          <cell r="BT87">
            <v>111844</v>
          </cell>
          <cell r="BU87">
            <v>0</v>
          </cell>
          <cell r="BW87">
            <v>0</v>
          </cell>
          <cell r="BX87">
            <v>5106</v>
          </cell>
          <cell r="BY87">
            <v>2720</v>
          </cell>
          <cell r="BZ87">
            <v>2365</v>
          </cell>
          <cell r="CA87">
            <v>2365</v>
          </cell>
          <cell r="CB87">
            <v>2720</v>
          </cell>
          <cell r="CC87">
            <v>9460</v>
          </cell>
          <cell r="CF87">
            <v>0</v>
          </cell>
          <cell r="CG87">
            <v>0</v>
          </cell>
          <cell r="CJ87">
            <v>0</v>
          </cell>
          <cell r="CK87">
            <v>0</v>
          </cell>
          <cell r="CL87">
            <v>47300</v>
          </cell>
          <cell r="CM87">
            <v>127730</v>
          </cell>
          <cell r="CN87">
            <v>5138</v>
          </cell>
          <cell r="CO87">
            <v>0</v>
          </cell>
          <cell r="CP87">
            <v>0</v>
          </cell>
          <cell r="CQ87">
            <v>0</v>
          </cell>
          <cell r="CR87">
            <v>0</v>
          </cell>
          <cell r="CS87">
            <v>0</v>
          </cell>
          <cell r="CT87">
            <v>0</v>
          </cell>
          <cell r="CU87">
            <v>0</v>
          </cell>
          <cell r="CV87">
            <v>0</v>
          </cell>
          <cell r="CX87">
            <v>26950</v>
          </cell>
          <cell r="CY87">
            <v>0</v>
          </cell>
          <cell r="CZ87">
            <v>0</v>
          </cell>
          <cell r="DA87">
            <v>0</v>
          </cell>
          <cell r="DB87">
            <v>0</v>
          </cell>
          <cell r="DC87">
            <v>8533318.2800000012</v>
          </cell>
          <cell r="DD87">
            <v>258729.92</v>
          </cell>
          <cell r="DE87">
            <v>187557</v>
          </cell>
          <cell r="DF87">
            <v>97.4</v>
          </cell>
          <cell r="DH87">
            <v>92.4</v>
          </cell>
          <cell r="DI87">
            <v>5</v>
          </cell>
          <cell r="DJ87">
            <v>82.4</v>
          </cell>
          <cell r="DK87">
            <v>82.4</v>
          </cell>
          <cell r="DL87">
            <v>0</v>
          </cell>
          <cell r="DM87">
            <v>0</v>
          </cell>
          <cell r="DN87">
            <v>15</v>
          </cell>
          <cell r="DO87">
            <v>371</v>
          </cell>
          <cell r="DP87">
            <v>18.55</v>
          </cell>
        </row>
        <row r="88">
          <cell r="A88">
            <v>304</v>
          </cell>
          <cell r="B88" t="str">
            <v>River Terrace</v>
          </cell>
          <cell r="C88" t="str">
            <v>SEC</v>
          </cell>
          <cell r="D88">
            <v>7</v>
          </cell>
          <cell r="E88">
            <v>132</v>
          </cell>
          <cell r="F88">
            <v>0.47</v>
          </cell>
          <cell r="G88">
            <v>62</v>
          </cell>
          <cell r="H88">
            <v>1</v>
          </cell>
          <cell r="I88">
            <v>1</v>
          </cell>
          <cell r="M88">
            <v>0.5</v>
          </cell>
          <cell r="N88">
            <v>1</v>
          </cell>
          <cell r="S88">
            <v>1</v>
          </cell>
          <cell r="T88">
            <v>1</v>
          </cell>
          <cell r="U88">
            <v>1</v>
          </cell>
          <cell r="V88">
            <v>0.5</v>
          </cell>
          <cell r="W88">
            <v>3</v>
          </cell>
          <cell r="AD88">
            <v>5.5</v>
          </cell>
          <cell r="AF88">
            <v>1</v>
          </cell>
          <cell r="AG88">
            <v>1</v>
          </cell>
          <cell r="AH88">
            <v>21</v>
          </cell>
          <cell r="AI88">
            <v>23</v>
          </cell>
          <cell r="AJ88">
            <v>2</v>
          </cell>
          <cell r="AL88">
            <v>1</v>
          </cell>
          <cell r="AQ88">
            <v>8</v>
          </cell>
          <cell r="AR88">
            <v>11</v>
          </cell>
          <cell r="AS88">
            <v>1</v>
          </cell>
          <cell r="AT88">
            <v>0</v>
          </cell>
          <cell r="AV88">
            <v>30600</v>
          </cell>
          <cell r="AW88">
            <v>59854</v>
          </cell>
          <cell r="AX88">
            <v>0</v>
          </cell>
          <cell r="AY88">
            <v>0</v>
          </cell>
          <cell r="BG88">
            <v>0</v>
          </cell>
          <cell r="BH88">
            <v>0</v>
          </cell>
          <cell r="BI88">
            <v>0</v>
          </cell>
          <cell r="BP88">
            <v>2</v>
          </cell>
          <cell r="BR88">
            <v>23000</v>
          </cell>
          <cell r="BS88">
            <v>0</v>
          </cell>
          <cell r="BT88">
            <v>111844</v>
          </cell>
          <cell r="BU88">
            <v>100000</v>
          </cell>
          <cell r="BW88">
            <v>0</v>
          </cell>
          <cell r="BX88">
            <v>1243</v>
          </cell>
          <cell r="BY88">
            <v>1214</v>
          </cell>
          <cell r="BZ88">
            <v>1320</v>
          </cell>
          <cell r="CA88">
            <v>1320</v>
          </cell>
          <cell r="CB88">
            <v>1518</v>
          </cell>
          <cell r="CC88">
            <v>2640</v>
          </cell>
          <cell r="CF88">
            <v>0</v>
          </cell>
          <cell r="CG88">
            <v>0</v>
          </cell>
          <cell r="CJ88">
            <v>0</v>
          </cell>
          <cell r="CK88">
            <v>0</v>
          </cell>
          <cell r="CL88">
            <v>13200</v>
          </cell>
          <cell r="CM88">
            <v>90519</v>
          </cell>
          <cell r="CN88">
            <v>5047</v>
          </cell>
          <cell r="CO88">
            <v>0</v>
          </cell>
          <cell r="CP88">
            <v>0</v>
          </cell>
          <cell r="CQ88">
            <v>0</v>
          </cell>
          <cell r="CR88">
            <v>0</v>
          </cell>
          <cell r="CS88">
            <v>0</v>
          </cell>
          <cell r="CT88">
            <v>0</v>
          </cell>
          <cell r="CU88">
            <v>0</v>
          </cell>
          <cell r="CV88">
            <v>0</v>
          </cell>
          <cell r="CX88">
            <v>7053</v>
          </cell>
          <cell r="CY88">
            <v>0</v>
          </cell>
          <cell r="CZ88">
            <v>0</v>
          </cell>
          <cell r="DA88">
            <v>0</v>
          </cell>
          <cell r="DB88">
            <v>0</v>
          </cell>
          <cell r="DC88">
            <v>6040676</v>
          </cell>
          <cell r="DD88">
            <v>25135.54</v>
          </cell>
          <cell r="DE88">
            <v>0</v>
          </cell>
          <cell r="DF88">
            <v>86.5</v>
          </cell>
          <cell r="DH88">
            <v>70.8</v>
          </cell>
          <cell r="DI88">
            <v>15.700000000000003</v>
          </cell>
          <cell r="DJ88">
            <v>66.5</v>
          </cell>
          <cell r="DK88">
            <v>65.8</v>
          </cell>
          <cell r="DL88">
            <v>0.70000000000000284</v>
          </cell>
          <cell r="DM88">
            <v>0</v>
          </cell>
          <cell r="DN88">
            <v>20</v>
          </cell>
          <cell r="DO88">
            <v>132</v>
          </cell>
          <cell r="DP88">
            <v>24</v>
          </cell>
        </row>
        <row r="89">
          <cell r="A89">
            <v>436</v>
          </cell>
          <cell r="B89" t="str">
            <v>Ron Brown</v>
          </cell>
          <cell r="C89" t="str">
            <v>HS</v>
          </cell>
          <cell r="D89">
            <v>7</v>
          </cell>
          <cell r="E89">
            <v>216</v>
          </cell>
          <cell r="F89">
            <v>0.875</v>
          </cell>
          <cell r="G89">
            <v>189</v>
          </cell>
          <cell r="H89">
            <v>1</v>
          </cell>
          <cell r="I89">
            <v>1</v>
          </cell>
          <cell r="J89">
            <v>0.7</v>
          </cell>
          <cell r="L89">
            <v>1</v>
          </cell>
          <cell r="M89">
            <v>0.5</v>
          </cell>
          <cell r="N89">
            <v>1</v>
          </cell>
          <cell r="P89">
            <v>1</v>
          </cell>
          <cell r="Q89">
            <v>1</v>
          </cell>
          <cell r="S89">
            <v>1</v>
          </cell>
          <cell r="T89">
            <v>1</v>
          </cell>
          <cell r="U89">
            <v>4</v>
          </cell>
          <cell r="AD89">
            <v>9</v>
          </cell>
          <cell r="AE89">
            <v>9.0599999999999987</v>
          </cell>
          <cell r="AF89">
            <v>1</v>
          </cell>
          <cell r="AG89">
            <v>1</v>
          </cell>
          <cell r="AH89">
            <v>7</v>
          </cell>
          <cell r="AM89">
            <v>0.05</v>
          </cell>
          <cell r="AT89">
            <v>60000</v>
          </cell>
          <cell r="AV89">
            <v>0</v>
          </cell>
          <cell r="AW89">
            <v>312117.33999999997</v>
          </cell>
          <cell r="AX89">
            <v>0</v>
          </cell>
          <cell r="AY89">
            <v>0</v>
          </cell>
          <cell r="BC89">
            <v>1</v>
          </cell>
          <cell r="BF89">
            <v>1</v>
          </cell>
          <cell r="BG89">
            <v>14666</v>
          </cell>
          <cell r="BH89">
            <v>20550</v>
          </cell>
          <cell r="BI89">
            <v>26000</v>
          </cell>
          <cell r="BJ89">
            <v>2</v>
          </cell>
          <cell r="BR89">
            <v>0</v>
          </cell>
          <cell r="BS89">
            <v>0</v>
          </cell>
          <cell r="BT89">
            <v>299968</v>
          </cell>
          <cell r="BU89">
            <v>0</v>
          </cell>
          <cell r="BV89">
            <v>1</v>
          </cell>
          <cell r="BW89">
            <v>0</v>
          </cell>
          <cell r="BX89">
            <v>7612</v>
          </cell>
          <cell r="BY89">
            <v>6210</v>
          </cell>
          <cell r="BZ89">
            <v>3240</v>
          </cell>
          <cell r="CA89">
            <v>3240</v>
          </cell>
          <cell r="CB89">
            <v>7452</v>
          </cell>
          <cell r="CC89">
            <v>4320</v>
          </cell>
          <cell r="CD89">
            <v>1</v>
          </cell>
          <cell r="CF89">
            <v>0</v>
          </cell>
          <cell r="CG89">
            <v>0</v>
          </cell>
          <cell r="CJ89">
            <v>0</v>
          </cell>
          <cell r="CK89">
            <v>0</v>
          </cell>
          <cell r="CL89">
            <v>21600</v>
          </cell>
          <cell r="CM89">
            <v>73733</v>
          </cell>
          <cell r="CN89">
            <v>6387</v>
          </cell>
          <cell r="CO89">
            <v>0</v>
          </cell>
          <cell r="CP89">
            <v>0</v>
          </cell>
          <cell r="CQ89">
            <v>0</v>
          </cell>
          <cell r="CR89">
            <v>0</v>
          </cell>
          <cell r="CS89">
            <v>0</v>
          </cell>
          <cell r="CT89">
            <v>0</v>
          </cell>
          <cell r="CU89">
            <v>0</v>
          </cell>
          <cell r="CV89">
            <v>0</v>
          </cell>
          <cell r="CX89">
            <v>13475</v>
          </cell>
          <cell r="CY89">
            <v>0</v>
          </cell>
          <cell r="CZ89">
            <v>912937</v>
          </cell>
          <cell r="DA89">
            <v>0</v>
          </cell>
          <cell r="DB89">
            <v>56285</v>
          </cell>
          <cell r="DC89">
            <v>6755047.3399999999</v>
          </cell>
          <cell r="DD89">
            <v>118974.25</v>
          </cell>
          <cell r="DE89">
            <v>134015</v>
          </cell>
          <cell r="DF89">
            <v>46.309999999999995</v>
          </cell>
          <cell r="DH89">
            <v>51.05368367930911</v>
          </cell>
          <cell r="DI89">
            <v>-4.7436836793091146</v>
          </cell>
          <cell r="DJ89">
            <v>46.309999999999995</v>
          </cell>
          <cell r="DK89">
            <v>51.05368367930911</v>
          </cell>
          <cell r="DL89">
            <v>-4.7436836793091146</v>
          </cell>
          <cell r="DM89">
            <v>0</v>
          </cell>
          <cell r="DN89">
            <v>0</v>
          </cell>
          <cell r="DO89">
            <v>216</v>
          </cell>
          <cell r="DP89">
            <v>11.960132890365449</v>
          </cell>
        </row>
        <row r="90">
          <cell r="A90">
            <v>459</v>
          </cell>
          <cell r="B90" t="str">
            <v>Roosevelt</v>
          </cell>
          <cell r="C90" t="str">
            <v>HS</v>
          </cell>
          <cell r="D90">
            <v>4</v>
          </cell>
          <cell r="E90">
            <v>790</v>
          </cell>
          <cell r="F90">
            <v>0.72699999999999998</v>
          </cell>
          <cell r="G90">
            <v>574</v>
          </cell>
          <cell r="H90">
            <v>1</v>
          </cell>
          <cell r="I90">
            <v>1</v>
          </cell>
          <cell r="J90">
            <v>2.6</v>
          </cell>
          <cell r="L90">
            <v>3.5</v>
          </cell>
          <cell r="M90">
            <v>1</v>
          </cell>
          <cell r="N90">
            <v>1</v>
          </cell>
          <cell r="O90">
            <v>2</v>
          </cell>
          <cell r="P90">
            <v>1</v>
          </cell>
          <cell r="Q90">
            <v>1</v>
          </cell>
          <cell r="S90">
            <v>1</v>
          </cell>
          <cell r="T90">
            <v>1</v>
          </cell>
          <cell r="U90">
            <v>8</v>
          </cell>
          <cell r="V90">
            <v>1</v>
          </cell>
          <cell r="AD90">
            <v>32.916666666666664</v>
          </cell>
          <cell r="AE90">
            <v>6.9533333333333331</v>
          </cell>
          <cell r="AF90">
            <v>2</v>
          </cell>
          <cell r="AG90">
            <v>4</v>
          </cell>
          <cell r="AH90">
            <v>15</v>
          </cell>
          <cell r="AI90">
            <v>7</v>
          </cell>
          <cell r="AJ90">
            <v>1</v>
          </cell>
          <cell r="AL90">
            <v>16</v>
          </cell>
          <cell r="AN90">
            <v>2</v>
          </cell>
          <cell r="AP90">
            <v>3</v>
          </cell>
          <cell r="AT90">
            <v>75000</v>
          </cell>
          <cell r="AV90">
            <v>0</v>
          </cell>
          <cell r="AW90">
            <v>471867.19</v>
          </cell>
          <cell r="AX90">
            <v>0</v>
          </cell>
          <cell r="AY90">
            <v>0</v>
          </cell>
          <cell r="BF90">
            <v>1</v>
          </cell>
          <cell r="BG90">
            <v>25216</v>
          </cell>
          <cell r="BH90">
            <v>10000</v>
          </cell>
          <cell r="BI90">
            <v>32000</v>
          </cell>
          <cell r="BJ90">
            <v>2</v>
          </cell>
          <cell r="BL90">
            <v>1</v>
          </cell>
          <cell r="BO90">
            <v>1</v>
          </cell>
          <cell r="BR90">
            <v>0</v>
          </cell>
          <cell r="BS90">
            <v>0</v>
          </cell>
          <cell r="BT90">
            <v>544014</v>
          </cell>
          <cell r="BU90">
            <v>0</v>
          </cell>
          <cell r="BV90">
            <v>1</v>
          </cell>
          <cell r="BW90">
            <v>75000</v>
          </cell>
          <cell r="BX90">
            <v>11508</v>
          </cell>
          <cell r="BY90">
            <v>22713</v>
          </cell>
          <cell r="BZ90">
            <v>11850</v>
          </cell>
          <cell r="CA90">
            <v>11850</v>
          </cell>
          <cell r="CB90">
            <v>27255</v>
          </cell>
          <cell r="CC90">
            <v>15800</v>
          </cell>
          <cell r="CD90">
            <v>1</v>
          </cell>
          <cell r="CF90">
            <v>0</v>
          </cell>
          <cell r="CG90">
            <v>0</v>
          </cell>
          <cell r="CH90">
            <v>1</v>
          </cell>
          <cell r="CJ90">
            <v>5000</v>
          </cell>
          <cell r="CK90">
            <v>113946</v>
          </cell>
          <cell r="CL90">
            <v>79000</v>
          </cell>
          <cell r="CM90">
            <v>192814</v>
          </cell>
          <cell r="CN90">
            <v>19264</v>
          </cell>
          <cell r="CO90">
            <v>0</v>
          </cell>
          <cell r="CP90">
            <v>0</v>
          </cell>
          <cell r="CQ90">
            <v>0</v>
          </cell>
          <cell r="CR90">
            <v>0</v>
          </cell>
          <cell r="CS90">
            <v>0</v>
          </cell>
          <cell r="CT90">
            <v>0</v>
          </cell>
          <cell r="CU90">
            <v>0</v>
          </cell>
          <cell r="CV90">
            <v>0</v>
          </cell>
          <cell r="CX90">
            <v>40125</v>
          </cell>
          <cell r="CY90">
            <v>0</v>
          </cell>
          <cell r="CZ90">
            <v>0</v>
          </cell>
          <cell r="DA90">
            <v>0</v>
          </cell>
          <cell r="DB90">
            <v>56285</v>
          </cell>
          <cell r="DC90">
            <v>14459931.189999999</v>
          </cell>
          <cell r="DD90">
            <v>427087.38</v>
          </cell>
          <cell r="DE90">
            <v>112569</v>
          </cell>
          <cell r="DF90">
            <v>122.97</v>
          </cell>
          <cell r="DH90">
            <v>123.56975942632285</v>
          </cell>
          <cell r="DI90">
            <v>-0.59975942632284784</v>
          </cell>
          <cell r="DJ90">
            <v>122.97</v>
          </cell>
          <cell r="DK90">
            <v>123.56975942632285</v>
          </cell>
          <cell r="DL90">
            <v>-0.59975942632284784</v>
          </cell>
          <cell r="DM90">
            <v>0</v>
          </cell>
          <cell r="DN90">
            <v>0</v>
          </cell>
          <cell r="DO90">
            <v>790</v>
          </cell>
          <cell r="DP90">
            <v>19.814396789566089</v>
          </cell>
        </row>
        <row r="91">
          <cell r="A91">
            <v>456</v>
          </cell>
          <cell r="B91" t="str">
            <v>Roosevelt STAY</v>
          </cell>
          <cell r="C91" t="str">
            <v>STAY</v>
          </cell>
          <cell r="D91">
            <v>4</v>
          </cell>
          <cell r="E91">
            <v>695</v>
          </cell>
          <cell r="F91">
            <v>0</v>
          </cell>
          <cell r="G91">
            <v>0</v>
          </cell>
          <cell r="H91">
            <v>1</v>
          </cell>
          <cell r="I91">
            <v>1</v>
          </cell>
          <cell r="J91">
            <v>1</v>
          </cell>
          <cell r="L91">
            <v>2.5</v>
          </cell>
          <cell r="M91">
            <v>1</v>
          </cell>
          <cell r="N91">
            <v>1</v>
          </cell>
          <cell r="O91">
            <v>1.7</v>
          </cell>
          <cell r="Q91">
            <v>1</v>
          </cell>
          <cell r="S91">
            <v>1</v>
          </cell>
          <cell r="T91">
            <v>1</v>
          </cell>
          <cell r="U91">
            <v>1</v>
          </cell>
          <cell r="AD91">
            <v>25.63</v>
          </cell>
          <cell r="AF91">
            <v>1</v>
          </cell>
          <cell r="AG91">
            <v>2</v>
          </cell>
          <cell r="AH91">
            <v>10</v>
          </cell>
          <cell r="AL91">
            <v>8</v>
          </cell>
          <cell r="AP91">
            <v>2</v>
          </cell>
          <cell r="AT91">
            <v>0</v>
          </cell>
          <cell r="AU91">
            <v>70000</v>
          </cell>
          <cell r="AV91">
            <v>0</v>
          </cell>
          <cell r="AW91">
            <v>0</v>
          </cell>
          <cell r="AX91">
            <v>17375</v>
          </cell>
          <cell r="AY91">
            <v>0</v>
          </cell>
          <cell r="BG91">
            <v>0</v>
          </cell>
          <cell r="BH91">
            <v>0</v>
          </cell>
          <cell r="BI91">
            <v>0</v>
          </cell>
          <cell r="BR91">
            <v>0</v>
          </cell>
          <cell r="BS91">
            <v>0</v>
          </cell>
          <cell r="BT91">
            <v>223687</v>
          </cell>
          <cell r="BU91">
            <v>0</v>
          </cell>
          <cell r="BW91">
            <v>75000</v>
          </cell>
          <cell r="BX91">
            <v>0</v>
          </cell>
          <cell r="BY91">
            <v>19981</v>
          </cell>
          <cell r="BZ91">
            <v>10425</v>
          </cell>
          <cell r="CA91">
            <v>10425</v>
          </cell>
          <cell r="CB91">
            <v>23978</v>
          </cell>
          <cell r="CC91">
            <v>13900</v>
          </cell>
          <cell r="CE91">
            <v>1</v>
          </cell>
          <cell r="CF91">
            <v>0</v>
          </cell>
          <cell r="CG91">
            <v>150000</v>
          </cell>
          <cell r="CJ91">
            <v>0</v>
          </cell>
          <cell r="CK91">
            <v>0</v>
          </cell>
          <cell r="CL91">
            <v>69500</v>
          </cell>
          <cell r="CM91">
            <v>110165</v>
          </cell>
          <cell r="CN91">
            <v>6924</v>
          </cell>
          <cell r="CO91">
            <v>0</v>
          </cell>
          <cell r="CP91">
            <v>0</v>
          </cell>
          <cell r="CQ91">
            <v>0</v>
          </cell>
          <cell r="CR91">
            <v>0</v>
          </cell>
          <cell r="CS91">
            <v>0</v>
          </cell>
          <cell r="CT91">
            <v>0</v>
          </cell>
          <cell r="CU91">
            <v>0</v>
          </cell>
          <cell r="CV91">
            <v>0</v>
          </cell>
          <cell r="CX91">
            <v>0</v>
          </cell>
          <cell r="CY91">
            <v>5225</v>
          </cell>
          <cell r="CZ91">
            <v>29156</v>
          </cell>
          <cell r="DA91">
            <v>112569</v>
          </cell>
          <cell r="DB91">
            <v>0</v>
          </cell>
          <cell r="DC91">
            <v>7854802</v>
          </cell>
          <cell r="DD91">
            <v>408869.2</v>
          </cell>
          <cell r="DE91">
            <v>366836.5</v>
          </cell>
          <cell r="DF91">
            <v>62.83</v>
          </cell>
          <cell r="DH91">
            <v>66.991667115372792</v>
          </cell>
          <cell r="DI91">
            <v>-4.1616671153727935</v>
          </cell>
          <cell r="DJ91">
            <v>62.83</v>
          </cell>
          <cell r="DK91">
            <v>66.991667115372792</v>
          </cell>
          <cell r="DL91">
            <v>-4.1616671153727935</v>
          </cell>
          <cell r="DM91">
            <v>0</v>
          </cell>
          <cell r="DN91">
            <v>0</v>
          </cell>
          <cell r="DO91">
            <v>695</v>
          </cell>
          <cell r="DP91">
            <v>27.116660163870467</v>
          </cell>
        </row>
        <row r="92">
          <cell r="A92">
            <v>305</v>
          </cell>
          <cell r="B92" t="str">
            <v>Ross</v>
          </cell>
          <cell r="C92" t="str">
            <v>ES</v>
          </cell>
          <cell r="D92">
            <v>2</v>
          </cell>
          <cell r="E92">
            <v>181</v>
          </cell>
          <cell r="F92">
            <v>2.1999999999999999E-2</v>
          </cell>
          <cell r="G92">
            <v>4</v>
          </cell>
          <cell r="H92">
            <v>1</v>
          </cell>
          <cell r="I92">
            <v>1</v>
          </cell>
          <cell r="M92">
            <v>0.5</v>
          </cell>
          <cell r="N92">
            <v>1</v>
          </cell>
          <cell r="S92">
            <v>1</v>
          </cell>
          <cell r="T92">
            <v>1</v>
          </cell>
          <cell r="U92">
            <v>1</v>
          </cell>
          <cell r="V92">
            <v>0.5</v>
          </cell>
          <cell r="W92">
            <v>3</v>
          </cell>
          <cell r="X92">
            <v>1</v>
          </cell>
          <cell r="AA92">
            <v>1</v>
          </cell>
          <cell r="AB92">
            <v>1</v>
          </cell>
          <cell r="AC92">
            <v>2</v>
          </cell>
          <cell r="AD92">
            <v>9</v>
          </cell>
          <cell r="AF92">
            <v>1</v>
          </cell>
          <cell r="AG92">
            <v>1</v>
          </cell>
          <cell r="AH92">
            <v>2</v>
          </cell>
          <cell r="AL92">
            <v>2</v>
          </cell>
          <cell r="AT92">
            <v>0</v>
          </cell>
          <cell r="AV92">
            <v>0</v>
          </cell>
          <cell r="AW92">
            <v>4525</v>
          </cell>
          <cell r="AX92">
            <v>4525</v>
          </cell>
          <cell r="AY92">
            <v>0</v>
          </cell>
          <cell r="BG92">
            <v>0</v>
          </cell>
          <cell r="BH92">
            <v>0</v>
          </cell>
          <cell r="BI92">
            <v>0</v>
          </cell>
          <cell r="BR92">
            <v>0</v>
          </cell>
          <cell r="BS92">
            <v>0</v>
          </cell>
          <cell r="BT92">
            <v>55922</v>
          </cell>
          <cell r="BU92">
            <v>0</v>
          </cell>
          <cell r="BW92">
            <v>0</v>
          </cell>
          <cell r="BX92">
            <v>0</v>
          </cell>
          <cell r="BY92">
            <v>1041</v>
          </cell>
          <cell r="BZ92">
            <v>905</v>
          </cell>
          <cell r="CA92">
            <v>905</v>
          </cell>
          <cell r="CB92">
            <v>1041</v>
          </cell>
          <cell r="CC92">
            <v>3620</v>
          </cell>
          <cell r="CF92">
            <v>0</v>
          </cell>
          <cell r="CG92">
            <v>0</v>
          </cell>
          <cell r="CJ92">
            <v>0</v>
          </cell>
          <cell r="CK92">
            <v>0</v>
          </cell>
          <cell r="CL92">
            <v>18100</v>
          </cell>
          <cell r="CM92">
            <v>48787</v>
          </cell>
          <cell r="CN92">
            <v>3608</v>
          </cell>
          <cell r="CO92">
            <v>0</v>
          </cell>
          <cell r="CP92">
            <v>0</v>
          </cell>
          <cell r="CQ92">
            <v>0</v>
          </cell>
          <cell r="CR92">
            <v>0</v>
          </cell>
          <cell r="CS92">
            <v>0</v>
          </cell>
          <cell r="CT92">
            <v>0</v>
          </cell>
          <cell r="CU92">
            <v>0</v>
          </cell>
          <cell r="CV92">
            <v>0</v>
          </cell>
          <cell r="CX92">
            <v>525</v>
          </cell>
          <cell r="CY92">
            <v>0</v>
          </cell>
          <cell r="CZ92">
            <v>0</v>
          </cell>
          <cell r="DA92">
            <v>0</v>
          </cell>
          <cell r="DB92">
            <v>56285</v>
          </cell>
          <cell r="DC92">
            <v>3225527</v>
          </cell>
          <cell r="DD92">
            <v>23877</v>
          </cell>
          <cell r="DE92">
            <v>56284.5</v>
          </cell>
          <cell r="DF92">
            <v>30</v>
          </cell>
          <cell r="DH92">
            <v>29.5</v>
          </cell>
          <cell r="DI92">
            <v>0.5</v>
          </cell>
          <cell r="DJ92">
            <v>30</v>
          </cell>
          <cell r="DK92">
            <v>29.5</v>
          </cell>
          <cell r="DL92">
            <v>0.5</v>
          </cell>
          <cell r="DM92">
            <v>0</v>
          </cell>
          <cell r="DN92">
            <v>0</v>
          </cell>
          <cell r="DO92">
            <v>162</v>
          </cell>
          <cell r="DP92">
            <v>18</v>
          </cell>
        </row>
        <row r="93">
          <cell r="A93">
            <v>307</v>
          </cell>
          <cell r="B93" t="str">
            <v>Savoy</v>
          </cell>
          <cell r="C93" t="str">
            <v>ES</v>
          </cell>
          <cell r="D93">
            <v>8</v>
          </cell>
          <cell r="E93">
            <v>259</v>
          </cell>
          <cell r="F93">
            <v>0.81899999999999995</v>
          </cell>
          <cell r="G93">
            <v>212</v>
          </cell>
          <cell r="H93">
            <v>1</v>
          </cell>
          <cell r="I93">
            <v>1</v>
          </cell>
          <cell r="M93">
            <v>0.5</v>
          </cell>
          <cell r="N93">
            <v>1</v>
          </cell>
          <cell r="S93">
            <v>1</v>
          </cell>
          <cell r="T93">
            <v>1</v>
          </cell>
          <cell r="U93">
            <v>1</v>
          </cell>
          <cell r="V93">
            <v>0.5</v>
          </cell>
          <cell r="W93">
            <v>3</v>
          </cell>
          <cell r="Y93">
            <v>2</v>
          </cell>
          <cell r="AA93">
            <v>2</v>
          </cell>
          <cell r="AB93">
            <v>4</v>
          </cell>
          <cell r="AC93">
            <v>2</v>
          </cell>
          <cell r="AD93">
            <v>10</v>
          </cell>
          <cell r="AF93">
            <v>1</v>
          </cell>
          <cell r="AG93">
            <v>1</v>
          </cell>
          <cell r="AH93">
            <v>7</v>
          </cell>
          <cell r="AI93">
            <v>5</v>
          </cell>
          <cell r="AM93">
            <v>0.05</v>
          </cell>
          <cell r="AQ93">
            <v>3</v>
          </cell>
          <cell r="AR93">
            <v>3</v>
          </cell>
          <cell r="AS93">
            <v>1</v>
          </cell>
          <cell r="AT93">
            <v>0</v>
          </cell>
          <cell r="AV93">
            <v>37400</v>
          </cell>
          <cell r="AW93">
            <v>117439.90000000001</v>
          </cell>
          <cell r="AX93">
            <v>0</v>
          </cell>
          <cell r="AY93">
            <v>0</v>
          </cell>
          <cell r="BG93">
            <v>0</v>
          </cell>
          <cell r="BH93">
            <v>0</v>
          </cell>
          <cell r="BI93">
            <v>0</v>
          </cell>
          <cell r="BR93">
            <v>0</v>
          </cell>
          <cell r="BS93">
            <v>0</v>
          </cell>
          <cell r="BT93">
            <v>111844</v>
          </cell>
          <cell r="BU93">
            <v>0</v>
          </cell>
          <cell r="BW93">
            <v>0</v>
          </cell>
          <cell r="BX93">
            <v>8521</v>
          </cell>
          <cell r="BY93">
            <v>1489</v>
          </cell>
          <cell r="BZ93">
            <v>1295</v>
          </cell>
          <cell r="CA93">
            <v>1295</v>
          </cell>
          <cell r="CB93">
            <v>1489</v>
          </cell>
          <cell r="CC93">
            <v>5180</v>
          </cell>
          <cell r="CF93">
            <v>0</v>
          </cell>
          <cell r="CG93">
            <v>0</v>
          </cell>
          <cell r="CJ93">
            <v>0</v>
          </cell>
          <cell r="CK93">
            <v>0</v>
          </cell>
          <cell r="CL93">
            <v>25900</v>
          </cell>
          <cell r="CM93">
            <v>64572</v>
          </cell>
          <cell r="CN93">
            <v>4408</v>
          </cell>
          <cell r="CO93">
            <v>0</v>
          </cell>
          <cell r="CP93">
            <v>0</v>
          </cell>
          <cell r="CQ93">
            <v>0</v>
          </cell>
          <cell r="CR93">
            <v>0</v>
          </cell>
          <cell r="CS93">
            <v>0</v>
          </cell>
          <cell r="CT93">
            <v>0</v>
          </cell>
          <cell r="CU93">
            <v>0</v>
          </cell>
          <cell r="CV93">
            <v>0</v>
          </cell>
          <cell r="CX93">
            <v>22425</v>
          </cell>
          <cell r="CY93">
            <v>0</v>
          </cell>
          <cell r="CZ93">
            <v>44687</v>
          </cell>
          <cell r="DA93">
            <v>112569</v>
          </cell>
          <cell r="DB93">
            <v>112569</v>
          </cell>
          <cell r="DC93">
            <v>4697891.9000000004</v>
          </cell>
          <cell r="DD93">
            <v>227630.76</v>
          </cell>
          <cell r="DE93">
            <v>492282</v>
          </cell>
          <cell r="DF93">
            <v>51.05</v>
          </cell>
          <cell r="DH93">
            <v>48.090909090909093</v>
          </cell>
          <cell r="DI93">
            <v>2.9590909090909037</v>
          </cell>
          <cell r="DJ93">
            <v>44.05</v>
          </cell>
          <cell r="DK93">
            <v>44.090909090909093</v>
          </cell>
          <cell r="DL93">
            <v>-4.0909090909096335E-2</v>
          </cell>
          <cell r="DM93">
            <v>0</v>
          </cell>
          <cell r="DN93">
            <v>7</v>
          </cell>
          <cell r="DO93">
            <v>202</v>
          </cell>
          <cell r="DP93">
            <v>20.2</v>
          </cell>
        </row>
        <row r="94">
          <cell r="A94">
            <v>409</v>
          </cell>
          <cell r="B94" t="str">
            <v>School Without Walls @ Francis-Stevens</v>
          </cell>
          <cell r="C94" t="str">
            <v>EC</v>
          </cell>
          <cell r="D94">
            <v>2</v>
          </cell>
          <cell r="E94">
            <v>600</v>
          </cell>
          <cell r="F94">
            <v>0.26</v>
          </cell>
          <cell r="G94">
            <v>156</v>
          </cell>
          <cell r="H94">
            <v>1</v>
          </cell>
          <cell r="I94">
            <v>1</v>
          </cell>
          <cell r="J94">
            <v>2.7</v>
          </cell>
          <cell r="K94">
            <v>1</v>
          </cell>
          <cell r="M94">
            <v>1</v>
          </cell>
          <cell r="N94">
            <v>1</v>
          </cell>
          <cell r="O94">
            <v>1.5</v>
          </cell>
          <cell r="S94">
            <v>1</v>
          </cell>
          <cell r="T94">
            <v>1</v>
          </cell>
          <cell r="U94">
            <v>3</v>
          </cell>
          <cell r="V94">
            <v>1</v>
          </cell>
          <cell r="W94">
            <v>3</v>
          </cell>
          <cell r="Y94">
            <v>2</v>
          </cell>
          <cell r="Z94">
            <v>1</v>
          </cell>
          <cell r="AA94">
            <v>2</v>
          </cell>
          <cell r="AB94">
            <v>5</v>
          </cell>
          <cell r="AC94">
            <v>2</v>
          </cell>
          <cell r="AD94">
            <v>25.1</v>
          </cell>
          <cell r="AF94">
            <v>1</v>
          </cell>
          <cell r="AG94">
            <v>2</v>
          </cell>
          <cell r="AH94">
            <v>10</v>
          </cell>
          <cell r="AI94">
            <v>5</v>
          </cell>
          <cell r="AK94">
            <v>1</v>
          </cell>
          <cell r="AL94">
            <v>5</v>
          </cell>
          <cell r="AO94">
            <v>1</v>
          </cell>
          <cell r="AT94">
            <v>0</v>
          </cell>
          <cell r="AV94">
            <v>0</v>
          </cell>
          <cell r="AW94">
            <v>0</v>
          </cell>
          <cell r="AX94">
            <v>15000</v>
          </cell>
          <cell r="AY94">
            <v>0</v>
          </cell>
          <cell r="BG94">
            <v>0</v>
          </cell>
          <cell r="BH94">
            <v>0</v>
          </cell>
          <cell r="BI94">
            <v>0</v>
          </cell>
          <cell r="BP94">
            <v>2</v>
          </cell>
          <cell r="BR94">
            <v>23000</v>
          </cell>
          <cell r="BS94">
            <v>0</v>
          </cell>
          <cell r="BT94">
            <v>111844</v>
          </cell>
          <cell r="BU94">
            <v>100000</v>
          </cell>
          <cell r="BW94">
            <v>0</v>
          </cell>
          <cell r="BX94">
            <v>3117</v>
          </cell>
          <cell r="BY94">
            <v>4444</v>
          </cell>
          <cell r="BZ94">
            <v>4440</v>
          </cell>
          <cell r="CA94">
            <v>4440</v>
          </cell>
          <cell r="CB94">
            <v>5106</v>
          </cell>
          <cell r="CC94">
            <v>12000</v>
          </cell>
          <cell r="CF94">
            <v>0</v>
          </cell>
          <cell r="CG94">
            <v>0</v>
          </cell>
          <cell r="CJ94">
            <v>0</v>
          </cell>
          <cell r="CK94">
            <v>0</v>
          </cell>
          <cell r="CL94">
            <v>60000</v>
          </cell>
          <cell r="CM94">
            <v>130207</v>
          </cell>
          <cell r="CN94">
            <v>8017</v>
          </cell>
          <cell r="CO94">
            <v>0</v>
          </cell>
          <cell r="CP94">
            <v>0</v>
          </cell>
          <cell r="CQ94">
            <v>0</v>
          </cell>
          <cell r="CR94">
            <v>0</v>
          </cell>
          <cell r="CS94">
            <v>0</v>
          </cell>
          <cell r="CT94">
            <v>0</v>
          </cell>
          <cell r="CU94">
            <v>0</v>
          </cell>
          <cell r="CV94">
            <v>0</v>
          </cell>
          <cell r="CX94">
            <v>24750</v>
          </cell>
          <cell r="CY94">
            <v>0</v>
          </cell>
          <cell r="CZ94">
            <v>0</v>
          </cell>
          <cell r="DA94">
            <v>0</v>
          </cell>
          <cell r="DB94">
            <v>150057</v>
          </cell>
          <cell r="DC94">
            <v>8793836</v>
          </cell>
          <cell r="DD94">
            <v>103443.92</v>
          </cell>
          <cell r="DE94">
            <v>112569</v>
          </cell>
          <cell r="DF94">
            <v>82.3</v>
          </cell>
          <cell r="DH94">
            <v>80.400000000000006</v>
          </cell>
          <cell r="DI94">
            <v>1.8999999999999915</v>
          </cell>
          <cell r="DJ94">
            <v>82.3</v>
          </cell>
          <cell r="DK94">
            <v>80.400000000000006</v>
          </cell>
          <cell r="DL94">
            <v>1.8999999999999915</v>
          </cell>
          <cell r="DM94">
            <v>0</v>
          </cell>
          <cell r="DN94">
            <v>0</v>
          </cell>
          <cell r="DO94">
            <v>524</v>
          </cell>
          <cell r="DP94">
            <v>19.335793357933579</v>
          </cell>
        </row>
        <row r="95">
          <cell r="A95">
            <v>466</v>
          </cell>
          <cell r="B95" t="str">
            <v>School Without Walls HS</v>
          </cell>
          <cell r="C95" t="str">
            <v>HS</v>
          </cell>
          <cell r="D95">
            <v>2</v>
          </cell>
          <cell r="E95">
            <v>600</v>
          </cell>
          <cell r="F95">
            <v>0.16800000000000001</v>
          </cell>
          <cell r="G95">
            <v>101</v>
          </cell>
          <cell r="H95">
            <v>1</v>
          </cell>
          <cell r="I95">
            <v>1</v>
          </cell>
          <cell r="J95">
            <v>2</v>
          </cell>
          <cell r="L95">
            <v>2.5</v>
          </cell>
          <cell r="M95">
            <v>1</v>
          </cell>
          <cell r="N95">
            <v>1</v>
          </cell>
          <cell r="O95">
            <v>1.5</v>
          </cell>
          <cell r="P95">
            <v>1</v>
          </cell>
          <cell r="Q95">
            <v>1</v>
          </cell>
          <cell r="S95">
            <v>1</v>
          </cell>
          <cell r="T95">
            <v>1</v>
          </cell>
          <cell r="U95">
            <v>3</v>
          </cell>
          <cell r="V95">
            <v>1</v>
          </cell>
          <cell r="AD95">
            <v>25</v>
          </cell>
          <cell r="AE95">
            <v>0.10000000000000142</v>
          </cell>
          <cell r="AF95">
            <v>1</v>
          </cell>
          <cell r="AG95">
            <v>1</v>
          </cell>
          <cell r="AH95">
            <v>1</v>
          </cell>
          <cell r="AK95">
            <v>1</v>
          </cell>
          <cell r="AM95">
            <v>0.09</v>
          </cell>
          <cell r="AT95">
            <v>0</v>
          </cell>
          <cell r="AV95">
            <v>0</v>
          </cell>
          <cell r="AW95">
            <v>0</v>
          </cell>
          <cell r="AX95">
            <v>15000</v>
          </cell>
          <cell r="AY95">
            <v>0</v>
          </cell>
          <cell r="BG95">
            <v>0</v>
          </cell>
          <cell r="BH95">
            <v>0</v>
          </cell>
          <cell r="BI95">
            <v>0</v>
          </cell>
          <cell r="BR95">
            <v>0</v>
          </cell>
          <cell r="BS95">
            <v>0</v>
          </cell>
          <cell r="BT95">
            <v>244046</v>
          </cell>
          <cell r="BU95">
            <v>0</v>
          </cell>
          <cell r="BV95">
            <v>1</v>
          </cell>
          <cell r="BW95">
            <v>0</v>
          </cell>
          <cell r="BX95">
            <v>0</v>
          </cell>
          <cell r="BY95">
            <v>17250</v>
          </cell>
          <cell r="BZ95">
            <v>9000</v>
          </cell>
          <cell r="CA95">
            <v>9000</v>
          </cell>
          <cell r="CB95">
            <v>20700</v>
          </cell>
          <cell r="CC95">
            <v>12000</v>
          </cell>
          <cell r="CF95">
            <v>0</v>
          </cell>
          <cell r="CG95">
            <v>0</v>
          </cell>
          <cell r="CJ95">
            <v>0</v>
          </cell>
          <cell r="CK95">
            <v>0</v>
          </cell>
          <cell r="CL95">
            <v>60000</v>
          </cell>
          <cell r="CM95">
            <v>82278</v>
          </cell>
          <cell r="CN95">
            <v>7819</v>
          </cell>
          <cell r="CO95">
            <v>0</v>
          </cell>
          <cell r="CP95">
            <v>0</v>
          </cell>
          <cell r="CQ95">
            <v>0</v>
          </cell>
          <cell r="CR95">
            <v>0</v>
          </cell>
          <cell r="CS95">
            <v>148035</v>
          </cell>
          <cell r="CT95">
            <v>519436</v>
          </cell>
          <cell r="CU95">
            <v>0</v>
          </cell>
          <cell r="CV95">
            <v>0</v>
          </cell>
          <cell r="CX95">
            <v>700</v>
          </cell>
          <cell r="CY95">
            <v>0</v>
          </cell>
          <cell r="CZ95">
            <v>0</v>
          </cell>
          <cell r="DA95">
            <v>0</v>
          </cell>
          <cell r="DB95">
            <v>168854</v>
          </cell>
          <cell r="DC95">
            <v>6424444</v>
          </cell>
          <cell r="DD95">
            <v>74853.009999999995</v>
          </cell>
          <cell r="DE95">
            <v>225138</v>
          </cell>
          <cell r="DF95">
            <v>48.190000000000005</v>
          </cell>
          <cell r="DH95">
            <v>51.190909539615262</v>
          </cell>
          <cell r="DI95">
            <v>-3.0009095396152574</v>
          </cell>
          <cell r="DJ95">
            <v>48.190000000000005</v>
          </cell>
          <cell r="DK95">
            <v>51.190909539615262</v>
          </cell>
          <cell r="DL95">
            <v>-3.0009095396152574</v>
          </cell>
          <cell r="DM95">
            <v>0</v>
          </cell>
          <cell r="DN95">
            <v>0</v>
          </cell>
          <cell r="DO95">
            <v>600</v>
          </cell>
          <cell r="DP95" t="str">
            <v>N/A</v>
          </cell>
        </row>
        <row r="96">
          <cell r="A96">
            <v>175</v>
          </cell>
          <cell r="B96" t="str">
            <v>School-Within-School @ Goding</v>
          </cell>
          <cell r="C96" t="str">
            <v>ES</v>
          </cell>
          <cell r="D96">
            <v>6</v>
          </cell>
          <cell r="E96">
            <v>311</v>
          </cell>
          <cell r="F96">
            <v>0.09</v>
          </cell>
          <cell r="G96">
            <v>28</v>
          </cell>
          <cell r="H96">
            <v>1</v>
          </cell>
          <cell r="I96">
            <v>1</v>
          </cell>
          <cell r="J96">
            <v>0.8</v>
          </cell>
          <cell r="M96">
            <v>1</v>
          </cell>
          <cell r="N96">
            <v>1</v>
          </cell>
          <cell r="S96">
            <v>1</v>
          </cell>
          <cell r="T96">
            <v>1</v>
          </cell>
          <cell r="U96">
            <v>2</v>
          </cell>
          <cell r="V96">
            <v>1</v>
          </cell>
          <cell r="W96">
            <v>3</v>
          </cell>
          <cell r="Y96">
            <v>2</v>
          </cell>
          <cell r="AA96">
            <v>2</v>
          </cell>
          <cell r="AB96">
            <v>4</v>
          </cell>
          <cell r="AC96">
            <v>2</v>
          </cell>
          <cell r="AD96">
            <v>11</v>
          </cell>
          <cell r="AF96">
            <v>1</v>
          </cell>
          <cell r="AG96">
            <v>1</v>
          </cell>
          <cell r="AH96">
            <v>10</v>
          </cell>
          <cell r="AI96">
            <v>12</v>
          </cell>
          <cell r="AM96">
            <v>0.32</v>
          </cell>
          <cell r="AT96">
            <v>0</v>
          </cell>
          <cell r="AV96">
            <v>0</v>
          </cell>
          <cell r="AW96">
            <v>0</v>
          </cell>
          <cell r="AX96">
            <v>7775</v>
          </cell>
          <cell r="AY96">
            <v>0</v>
          </cell>
          <cell r="BG96">
            <v>0</v>
          </cell>
          <cell r="BH96">
            <v>0</v>
          </cell>
          <cell r="BI96">
            <v>0</v>
          </cell>
          <cell r="BR96">
            <v>0</v>
          </cell>
          <cell r="BS96">
            <v>0</v>
          </cell>
          <cell r="BT96">
            <v>111844</v>
          </cell>
          <cell r="BU96">
            <v>0</v>
          </cell>
          <cell r="BW96">
            <v>0</v>
          </cell>
          <cell r="BX96">
            <v>0</v>
          </cell>
          <cell r="BY96">
            <v>1788</v>
          </cell>
          <cell r="BZ96">
            <v>1555</v>
          </cell>
          <cell r="CA96">
            <v>1555</v>
          </cell>
          <cell r="CB96">
            <v>1788</v>
          </cell>
          <cell r="CC96">
            <v>6220</v>
          </cell>
          <cell r="CF96">
            <v>0</v>
          </cell>
          <cell r="CG96">
            <v>0</v>
          </cell>
          <cell r="CJ96">
            <v>0</v>
          </cell>
          <cell r="CK96">
            <v>0</v>
          </cell>
          <cell r="CL96">
            <v>31100</v>
          </cell>
          <cell r="CM96">
            <v>81009</v>
          </cell>
          <cell r="CN96">
            <v>4529</v>
          </cell>
          <cell r="CO96">
            <v>0</v>
          </cell>
          <cell r="CP96">
            <v>0</v>
          </cell>
          <cell r="CQ96">
            <v>0</v>
          </cell>
          <cell r="CR96">
            <v>0</v>
          </cell>
          <cell r="CS96">
            <v>0</v>
          </cell>
          <cell r="CT96">
            <v>0</v>
          </cell>
          <cell r="CU96">
            <v>0</v>
          </cell>
          <cell r="CV96">
            <v>0</v>
          </cell>
          <cell r="CX96">
            <v>1750</v>
          </cell>
          <cell r="CY96">
            <v>0</v>
          </cell>
          <cell r="CZ96">
            <v>0</v>
          </cell>
          <cell r="DA96">
            <v>0</v>
          </cell>
          <cell r="DB96">
            <v>146285</v>
          </cell>
          <cell r="DC96">
            <v>5429034</v>
          </cell>
          <cell r="DD96">
            <v>40287.71</v>
          </cell>
          <cell r="DE96">
            <v>22569</v>
          </cell>
          <cell r="DF96">
            <v>58.12</v>
          </cell>
          <cell r="DH96">
            <v>57.663636363636364</v>
          </cell>
          <cell r="DI96">
            <v>0.45636363636363342</v>
          </cell>
          <cell r="DJ96">
            <v>58.12</v>
          </cell>
          <cell r="DK96">
            <v>57.663636363636364</v>
          </cell>
          <cell r="DL96">
            <v>0.45636363636363342</v>
          </cell>
          <cell r="DM96">
            <v>0</v>
          </cell>
          <cell r="DN96">
            <v>0</v>
          </cell>
          <cell r="DO96">
            <v>239</v>
          </cell>
          <cell r="DP96">
            <v>21.727272727272727</v>
          </cell>
        </row>
        <row r="97">
          <cell r="A97">
            <v>309</v>
          </cell>
          <cell r="B97" t="str">
            <v>Seaton</v>
          </cell>
          <cell r="C97" t="str">
            <v>ES</v>
          </cell>
          <cell r="D97">
            <v>6</v>
          </cell>
          <cell r="E97">
            <v>364</v>
          </cell>
          <cell r="F97">
            <v>0.41199999999999998</v>
          </cell>
          <cell r="G97">
            <v>150</v>
          </cell>
          <cell r="H97">
            <v>1</v>
          </cell>
          <cell r="I97">
            <v>1</v>
          </cell>
          <cell r="J97">
            <v>0.9</v>
          </cell>
          <cell r="M97">
            <v>1</v>
          </cell>
          <cell r="N97">
            <v>1</v>
          </cell>
          <cell r="S97">
            <v>1</v>
          </cell>
          <cell r="T97">
            <v>1</v>
          </cell>
          <cell r="U97">
            <v>2</v>
          </cell>
          <cell r="V97">
            <v>1</v>
          </cell>
          <cell r="W97">
            <v>3</v>
          </cell>
          <cell r="X97">
            <v>1</v>
          </cell>
          <cell r="Y97">
            <v>3</v>
          </cell>
          <cell r="AA97">
            <v>3</v>
          </cell>
          <cell r="AB97">
            <v>6</v>
          </cell>
          <cell r="AC97">
            <v>3</v>
          </cell>
          <cell r="AD97">
            <v>13</v>
          </cell>
          <cell r="AF97">
            <v>1</v>
          </cell>
          <cell r="AG97">
            <v>2</v>
          </cell>
          <cell r="AH97">
            <v>7</v>
          </cell>
          <cell r="AI97">
            <v>8</v>
          </cell>
          <cell r="AK97">
            <v>1</v>
          </cell>
          <cell r="AL97">
            <v>7</v>
          </cell>
          <cell r="AO97">
            <v>1</v>
          </cell>
          <cell r="AQ97">
            <v>6</v>
          </cell>
          <cell r="AR97">
            <v>6</v>
          </cell>
          <cell r="AT97">
            <v>0</v>
          </cell>
          <cell r="AV97">
            <v>40800</v>
          </cell>
          <cell r="AW97">
            <v>165049.5</v>
          </cell>
          <cell r="AX97">
            <v>0</v>
          </cell>
          <cell r="AY97">
            <v>0</v>
          </cell>
          <cell r="BG97">
            <v>0</v>
          </cell>
          <cell r="BH97">
            <v>0</v>
          </cell>
          <cell r="BI97">
            <v>0</v>
          </cell>
          <cell r="BR97">
            <v>0</v>
          </cell>
          <cell r="BS97">
            <v>0</v>
          </cell>
          <cell r="BT97">
            <v>55922</v>
          </cell>
          <cell r="BU97">
            <v>0</v>
          </cell>
          <cell r="BW97">
            <v>0</v>
          </cell>
          <cell r="BX97">
            <v>2993</v>
          </cell>
          <cell r="BY97">
            <v>2093</v>
          </cell>
          <cell r="BZ97">
            <v>1820</v>
          </cell>
          <cell r="CA97">
            <v>1820</v>
          </cell>
          <cell r="CB97">
            <v>2093</v>
          </cell>
          <cell r="CC97">
            <v>7280</v>
          </cell>
          <cell r="CF97">
            <v>0</v>
          </cell>
          <cell r="CG97">
            <v>0</v>
          </cell>
          <cell r="CJ97">
            <v>0</v>
          </cell>
          <cell r="CK97">
            <v>0</v>
          </cell>
          <cell r="CL97">
            <v>36400</v>
          </cell>
          <cell r="CM97">
            <v>101902</v>
          </cell>
          <cell r="CN97">
            <v>5108</v>
          </cell>
          <cell r="CO97">
            <v>0</v>
          </cell>
          <cell r="CP97">
            <v>0</v>
          </cell>
          <cell r="CQ97">
            <v>0</v>
          </cell>
          <cell r="CR97">
            <v>0</v>
          </cell>
          <cell r="CS97">
            <v>0</v>
          </cell>
          <cell r="CT97">
            <v>0</v>
          </cell>
          <cell r="CU97">
            <v>0</v>
          </cell>
          <cell r="CV97">
            <v>0</v>
          </cell>
          <cell r="CX97">
            <v>10350</v>
          </cell>
          <cell r="CY97">
            <v>0</v>
          </cell>
          <cell r="CZ97">
            <v>0</v>
          </cell>
          <cell r="DA97">
            <v>0</v>
          </cell>
          <cell r="DB97">
            <v>122769</v>
          </cell>
          <cell r="DC97">
            <v>6926524.5</v>
          </cell>
          <cell r="DD97">
            <v>128741.58</v>
          </cell>
          <cell r="DE97">
            <v>112569</v>
          </cell>
          <cell r="DF97">
            <v>80.900000000000006</v>
          </cell>
          <cell r="DH97">
            <v>80.5</v>
          </cell>
          <cell r="DI97">
            <v>0.40000000000000568</v>
          </cell>
          <cell r="DJ97">
            <v>68.900000000000006</v>
          </cell>
          <cell r="DK97">
            <v>72.5</v>
          </cell>
          <cell r="DL97">
            <v>-3.5999999999999943</v>
          </cell>
          <cell r="DM97">
            <v>0</v>
          </cell>
          <cell r="DN97">
            <v>12</v>
          </cell>
          <cell r="DO97">
            <v>269</v>
          </cell>
          <cell r="DP97">
            <v>20.692307692307693</v>
          </cell>
        </row>
        <row r="98">
          <cell r="A98">
            <v>313</v>
          </cell>
          <cell r="B98" t="str">
            <v>Shepherd</v>
          </cell>
          <cell r="C98" t="str">
            <v>ES</v>
          </cell>
          <cell r="D98">
            <v>4</v>
          </cell>
          <cell r="E98">
            <v>366</v>
          </cell>
          <cell r="F98">
            <v>0.123</v>
          </cell>
          <cell r="G98">
            <v>45</v>
          </cell>
          <cell r="H98">
            <v>1</v>
          </cell>
          <cell r="I98">
            <v>1</v>
          </cell>
          <cell r="J98">
            <v>0.9</v>
          </cell>
          <cell r="M98">
            <v>1</v>
          </cell>
          <cell r="N98">
            <v>1</v>
          </cell>
          <cell r="S98">
            <v>1</v>
          </cell>
          <cell r="T98">
            <v>1</v>
          </cell>
          <cell r="U98">
            <v>2</v>
          </cell>
          <cell r="V98">
            <v>1</v>
          </cell>
          <cell r="W98">
            <v>3</v>
          </cell>
          <cell r="X98">
            <v>1</v>
          </cell>
          <cell r="Y98">
            <v>2</v>
          </cell>
          <cell r="AA98">
            <v>2</v>
          </cell>
          <cell r="AB98">
            <v>4</v>
          </cell>
          <cell r="AC98">
            <v>2</v>
          </cell>
          <cell r="AD98">
            <v>13</v>
          </cell>
          <cell r="AF98">
            <v>1</v>
          </cell>
          <cell r="AG98">
            <v>1</v>
          </cell>
          <cell r="AH98">
            <v>3</v>
          </cell>
          <cell r="AI98">
            <v>2</v>
          </cell>
          <cell r="AL98">
            <v>1</v>
          </cell>
          <cell r="AT98">
            <v>0</v>
          </cell>
          <cell r="AV98">
            <v>0</v>
          </cell>
          <cell r="AW98">
            <v>0</v>
          </cell>
          <cell r="AX98">
            <v>9150</v>
          </cell>
          <cell r="AY98">
            <v>0</v>
          </cell>
          <cell r="AZ98">
            <v>1</v>
          </cell>
          <cell r="BG98">
            <v>0</v>
          </cell>
          <cell r="BH98">
            <v>0</v>
          </cell>
          <cell r="BI98">
            <v>0</v>
          </cell>
          <cell r="BR98">
            <v>0</v>
          </cell>
          <cell r="BS98">
            <v>0</v>
          </cell>
          <cell r="BT98">
            <v>55922</v>
          </cell>
          <cell r="BU98">
            <v>0</v>
          </cell>
          <cell r="BW98">
            <v>0</v>
          </cell>
          <cell r="BX98">
            <v>0</v>
          </cell>
          <cell r="BY98">
            <v>2105</v>
          </cell>
          <cell r="BZ98">
            <v>1830</v>
          </cell>
          <cell r="CA98">
            <v>1830</v>
          </cell>
          <cell r="CB98">
            <v>2105</v>
          </cell>
          <cell r="CC98">
            <v>7320</v>
          </cell>
          <cell r="CF98">
            <v>0</v>
          </cell>
          <cell r="CG98">
            <v>0</v>
          </cell>
          <cell r="CJ98">
            <v>0</v>
          </cell>
          <cell r="CK98">
            <v>0</v>
          </cell>
          <cell r="CL98">
            <v>36600</v>
          </cell>
          <cell r="CM98">
            <v>71097</v>
          </cell>
          <cell r="CN98">
            <v>6102</v>
          </cell>
          <cell r="CO98">
            <v>0</v>
          </cell>
          <cell r="CP98">
            <v>0</v>
          </cell>
          <cell r="CQ98">
            <v>0</v>
          </cell>
          <cell r="CR98">
            <v>0</v>
          </cell>
          <cell r="CS98">
            <v>0</v>
          </cell>
          <cell r="CT98">
            <v>0</v>
          </cell>
          <cell r="CU98">
            <v>0</v>
          </cell>
          <cell r="CV98">
            <v>20207</v>
          </cell>
          <cell r="CX98">
            <v>4900</v>
          </cell>
          <cell r="CY98">
            <v>0</v>
          </cell>
          <cell r="CZ98">
            <v>4300</v>
          </cell>
          <cell r="DA98">
            <v>0</v>
          </cell>
          <cell r="DB98">
            <v>112569</v>
          </cell>
          <cell r="DC98">
            <v>4752004</v>
          </cell>
          <cell r="DD98">
            <v>39110.400000000001</v>
          </cell>
          <cell r="DE98">
            <v>76024</v>
          </cell>
          <cell r="DF98">
            <v>45.9</v>
          </cell>
          <cell r="DH98">
            <v>44.500000000000007</v>
          </cell>
          <cell r="DI98">
            <v>1.3999999999999915</v>
          </cell>
          <cell r="DJ98">
            <v>45.9</v>
          </cell>
          <cell r="DK98">
            <v>44.500000000000007</v>
          </cell>
          <cell r="DL98">
            <v>1.3999999999999915</v>
          </cell>
          <cell r="DM98">
            <v>0</v>
          </cell>
          <cell r="DN98">
            <v>0</v>
          </cell>
          <cell r="DO98">
            <v>300</v>
          </cell>
          <cell r="DP98">
            <v>23.076923076923077</v>
          </cell>
        </row>
        <row r="99">
          <cell r="A99">
            <v>315</v>
          </cell>
          <cell r="B99" t="str">
            <v>Simon</v>
          </cell>
          <cell r="C99" t="str">
            <v>ES</v>
          </cell>
          <cell r="D99">
            <v>8</v>
          </cell>
          <cell r="E99">
            <v>236</v>
          </cell>
          <cell r="F99">
            <v>0.72499999999999998</v>
          </cell>
          <cell r="G99">
            <v>171</v>
          </cell>
          <cell r="H99">
            <v>1</v>
          </cell>
          <cell r="I99">
            <v>1</v>
          </cell>
          <cell r="M99">
            <v>0.5</v>
          </cell>
          <cell r="N99">
            <v>1</v>
          </cell>
          <cell r="S99">
            <v>1</v>
          </cell>
          <cell r="T99">
            <v>1</v>
          </cell>
          <cell r="U99">
            <v>1</v>
          </cell>
          <cell r="V99">
            <v>0.5</v>
          </cell>
          <cell r="W99">
            <v>3</v>
          </cell>
          <cell r="Y99">
            <v>1</v>
          </cell>
          <cell r="Z99">
            <v>1</v>
          </cell>
          <cell r="AA99">
            <v>1</v>
          </cell>
          <cell r="AB99">
            <v>3</v>
          </cell>
          <cell r="AC99">
            <v>1</v>
          </cell>
          <cell r="AD99">
            <v>11</v>
          </cell>
          <cell r="AF99">
            <v>1</v>
          </cell>
          <cell r="AG99">
            <v>1</v>
          </cell>
          <cell r="AH99">
            <v>5</v>
          </cell>
          <cell r="AI99">
            <v>4</v>
          </cell>
          <cell r="AL99">
            <v>1</v>
          </cell>
          <cell r="AT99">
            <v>0</v>
          </cell>
          <cell r="AV99">
            <v>0</v>
          </cell>
          <cell r="AW99">
            <v>107007.85999999999</v>
          </cell>
          <cell r="AX99">
            <v>0</v>
          </cell>
          <cell r="AY99">
            <v>0</v>
          </cell>
          <cell r="BG99">
            <v>0</v>
          </cell>
          <cell r="BH99">
            <v>0</v>
          </cell>
          <cell r="BI99">
            <v>0</v>
          </cell>
          <cell r="BR99">
            <v>0</v>
          </cell>
          <cell r="BS99">
            <v>0</v>
          </cell>
          <cell r="BT99">
            <v>55922</v>
          </cell>
          <cell r="BU99">
            <v>0</v>
          </cell>
          <cell r="BW99">
            <v>75000</v>
          </cell>
          <cell r="BX99">
            <v>3440</v>
          </cell>
          <cell r="BY99">
            <v>1357</v>
          </cell>
          <cell r="BZ99">
            <v>1180</v>
          </cell>
          <cell r="CA99">
            <v>1180</v>
          </cell>
          <cell r="CB99">
            <v>1357</v>
          </cell>
          <cell r="CC99">
            <v>4720</v>
          </cell>
          <cell r="CF99">
            <v>0</v>
          </cell>
          <cell r="CG99">
            <v>0</v>
          </cell>
          <cell r="CJ99">
            <v>0</v>
          </cell>
          <cell r="CK99">
            <v>0</v>
          </cell>
          <cell r="CL99">
            <v>23600</v>
          </cell>
          <cell r="CM99">
            <v>60867</v>
          </cell>
          <cell r="CN99">
            <v>4860</v>
          </cell>
          <cell r="CO99">
            <v>0</v>
          </cell>
          <cell r="CP99">
            <v>0</v>
          </cell>
          <cell r="CQ99">
            <v>0</v>
          </cell>
          <cell r="CR99">
            <v>0</v>
          </cell>
          <cell r="CS99">
            <v>0</v>
          </cell>
          <cell r="CT99">
            <v>0</v>
          </cell>
          <cell r="CU99">
            <v>13859</v>
          </cell>
          <cell r="CV99">
            <v>0</v>
          </cell>
          <cell r="CX99">
            <v>19500</v>
          </cell>
          <cell r="CY99">
            <v>0</v>
          </cell>
          <cell r="CZ99">
            <v>130766</v>
          </cell>
          <cell r="DA99">
            <v>112569</v>
          </cell>
          <cell r="DB99">
            <v>112569</v>
          </cell>
          <cell r="DC99">
            <v>4510301.8599999994</v>
          </cell>
          <cell r="DD99">
            <v>124987.78</v>
          </cell>
          <cell r="DE99">
            <v>379713</v>
          </cell>
          <cell r="DF99">
            <v>40</v>
          </cell>
          <cell r="DH99">
            <v>42</v>
          </cell>
          <cell r="DI99">
            <v>-2</v>
          </cell>
          <cell r="DJ99">
            <v>40</v>
          </cell>
          <cell r="DK99">
            <v>42</v>
          </cell>
          <cell r="DL99">
            <v>-2</v>
          </cell>
          <cell r="DM99">
            <v>0</v>
          </cell>
          <cell r="DN99">
            <v>0</v>
          </cell>
          <cell r="DO99">
            <v>191</v>
          </cell>
          <cell r="DP99">
            <v>17.363636363636363</v>
          </cell>
        </row>
        <row r="100">
          <cell r="A100">
            <v>322</v>
          </cell>
          <cell r="B100" t="str">
            <v>Smothers</v>
          </cell>
          <cell r="C100" t="str">
            <v>ES</v>
          </cell>
          <cell r="D100">
            <v>7</v>
          </cell>
          <cell r="E100">
            <v>234</v>
          </cell>
          <cell r="F100">
            <v>0.75600000000000001</v>
          </cell>
          <cell r="G100">
            <v>177</v>
          </cell>
          <cell r="H100">
            <v>1</v>
          </cell>
          <cell r="I100">
            <v>1</v>
          </cell>
          <cell r="M100">
            <v>0.5</v>
          </cell>
          <cell r="N100">
            <v>1</v>
          </cell>
          <cell r="S100">
            <v>1</v>
          </cell>
          <cell r="T100">
            <v>1</v>
          </cell>
          <cell r="U100">
            <v>1</v>
          </cell>
          <cell r="V100">
            <v>0.5</v>
          </cell>
          <cell r="W100">
            <v>3</v>
          </cell>
          <cell r="Y100">
            <v>2</v>
          </cell>
          <cell r="AA100">
            <v>2</v>
          </cell>
          <cell r="AB100">
            <v>4</v>
          </cell>
          <cell r="AC100">
            <v>2</v>
          </cell>
          <cell r="AD100">
            <v>10</v>
          </cell>
          <cell r="AF100">
            <v>1</v>
          </cell>
          <cell r="AG100">
            <v>1</v>
          </cell>
          <cell r="AH100">
            <v>6</v>
          </cell>
          <cell r="AI100">
            <v>4</v>
          </cell>
          <cell r="AL100">
            <v>1</v>
          </cell>
          <cell r="AQ100">
            <v>4</v>
          </cell>
          <cell r="AR100">
            <v>4</v>
          </cell>
          <cell r="AS100">
            <v>1</v>
          </cell>
          <cell r="AT100">
            <v>0</v>
          </cell>
          <cell r="AV100">
            <v>37400</v>
          </cell>
          <cell r="AW100">
            <v>106102.7</v>
          </cell>
          <cell r="AX100">
            <v>0</v>
          </cell>
          <cell r="AY100">
            <v>0</v>
          </cell>
          <cell r="BG100">
            <v>0</v>
          </cell>
          <cell r="BH100">
            <v>0</v>
          </cell>
          <cell r="BI100">
            <v>0</v>
          </cell>
          <cell r="BR100">
            <v>0</v>
          </cell>
          <cell r="BS100">
            <v>0</v>
          </cell>
          <cell r="BT100">
            <v>111844</v>
          </cell>
          <cell r="BU100">
            <v>0</v>
          </cell>
          <cell r="BW100">
            <v>75000</v>
          </cell>
          <cell r="BX100">
            <v>7137</v>
          </cell>
          <cell r="BY100">
            <v>1346</v>
          </cell>
          <cell r="BZ100">
            <v>1170</v>
          </cell>
          <cell r="CA100">
            <v>1170</v>
          </cell>
          <cell r="CB100">
            <v>1346</v>
          </cell>
          <cell r="CC100">
            <v>4680</v>
          </cell>
          <cell r="CF100">
            <v>0</v>
          </cell>
          <cell r="CG100">
            <v>0</v>
          </cell>
          <cell r="CJ100">
            <v>0</v>
          </cell>
          <cell r="CK100">
            <v>0</v>
          </cell>
          <cell r="CL100">
            <v>23400</v>
          </cell>
          <cell r="CM100">
            <v>63886</v>
          </cell>
          <cell r="CN100">
            <v>3949</v>
          </cell>
          <cell r="CO100">
            <v>0</v>
          </cell>
          <cell r="CP100">
            <v>0</v>
          </cell>
          <cell r="CQ100">
            <v>0</v>
          </cell>
          <cell r="CR100">
            <v>0</v>
          </cell>
          <cell r="CS100">
            <v>0</v>
          </cell>
          <cell r="CT100">
            <v>0</v>
          </cell>
          <cell r="CU100">
            <v>0</v>
          </cell>
          <cell r="CV100">
            <v>0</v>
          </cell>
          <cell r="CX100">
            <v>12650</v>
          </cell>
          <cell r="CY100">
            <v>0</v>
          </cell>
          <cell r="CZ100">
            <v>379075</v>
          </cell>
          <cell r="DA100">
            <v>112569</v>
          </cell>
          <cell r="DB100">
            <v>0</v>
          </cell>
          <cell r="DC100">
            <v>4938017.7</v>
          </cell>
          <cell r="DD100">
            <v>160553.46</v>
          </cell>
          <cell r="DE100">
            <v>182875</v>
          </cell>
          <cell r="DF100">
            <v>52</v>
          </cell>
          <cell r="DH100">
            <v>53</v>
          </cell>
          <cell r="DI100">
            <v>-1</v>
          </cell>
          <cell r="DJ100">
            <v>43</v>
          </cell>
          <cell r="DK100">
            <v>47</v>
          </cell>
          <cell r="DL100">
            <v>-4</v>
          </cell>
          <cell r="DM100">
            <v>0</v>
          </cell>
          <cell r="DN100">
            <v>9</v>
          </cell>
          <cell r="DO100">
            <v>171</v>
          </cell>
          <cell r="DP100">
            <v>17.100000000000001</v>
          </cell>
        </row>
        <row r="101">
          <cell r="A101">
            <v>427</v>
          </cell>
          <cell r="B101" t="str">
            <v>Sousa</v>
          </cell>
          <cell r="C101" t="str">
            <v>MS</v>
          </cell>
          <cell r="D101">
            <v>7</v>
          </cell>
          <cell r="E101">
            <v>276</v>
          </cell>
          <cell r="F101">
            <v>0.72499999999999998</v>
          </cell>
          <cell r="G101">
            <v>200</v>
          </cell>
          <cell r="H101">
            <v>1</v>
          </cell>
          <cell r="I101">
            <v>1</v>
          </cell>
          <cell r="J101">
            <v>0.9</v>
          </cell>
          <cell r="K101">
            <v>1</v>
          </cell>
          <cell r="M101">
            <v>0.5</v>
          </cell>
          <cell r="N101">
            <v>1</v>
          </cell>
          <cell r="S101">
            <v>1</v>
          </cell>
          <cell r="T101">
            <v>1</v>
          </cell>
          <cell r="U101">
            <v>3</v>
          </cell>
          <cell r="V101">
            <v>0.5</v>
          </cell>
          <cell r="AD101">
            <v>12.5</v>
          </cell>
          <cell r="AF101">
            <v>1</v>
          </cell>
          <cell r="AG101">
            <v>1</v>
          </cell>
          <cell r="AH101">
            <v>11</v>
          </cell>
          <cell r="AI101">
            <v>6</v>
          </cell>
          <cell r="AT101">
            <v>0</v>
          </cell>
          <cell r="AV101">
            <v>0</v>
          </cell>
          <cell r="AW101">
            <v>125149.6</v>
          </cell>
          <cell r="AX101">
            <v>0</v>
          </cell>
          <cell r="AY101">
            <v>0</v>
          </cell>
          <cell r="BB101">
            <v>1</v>
          </cell>
          <cell r="BG101">
            <v>0</v>
          </cell>
          <cell r="BH101">
            <v>0</v>
          </cell>
          <cell r="BI101">
            <v>0</v>
          </cell>
          <cell r="BP101">
            <v>2</v>
          </cell>
          <cell r="BR101">
            <v>23000</v>
          </cell>
          <cell r="BS101">
            <v>0</v>
          </cell>
          <cell r="BT101">
            <v>244046</v>
          </cell>
          <cell r="BU101">
            <v>100000</v>
          </cell>
          <cell r="BW101">
            <v>0</v>
          </cell>
          <cell r="BX101">
            <v>4022</v>
          </cell>
          <cell r="BY101">
            <v>2539</v>
          </cell>
          <cell r="BZ101">
            <v>2760</v>
          </cell>
          <cell r="CA101">
            <v>2760</v>
          </cell>
          <cell r="CB101">
            <v>3174</v>
          </cell>
          <cell r="CC101">
            <v>5520</v>
          </cell>
          <cell r="CF101">
            <v>0</v>
          </cell>
          <cell r="CG101">
            <v>0</v>
          </cell>
          <cell r="CJ101">
            <v>0</v>
          </cell>
          <cell r="CK101">
            <v>0</v>
          </cell>
          <cell r="CL101">
            <v>27600</v>
          </cell>
          <cell r="CM101">
            <v>74937</v>
          </cell>
          <cell r="CN101">
            <v>5251</v>
          </cell>
          <cell r="CO101">
            <v>0</v>
          </cell>
          <cell r="CP101">
            <v>0</v>
          </cell>
          <cell r="CQ101">
            <v>0</v>
          </cell>
          <cell r="CR101">
            <v>0</v>
          </cell>
          <cell r="CS101">
            <v>0</v>
          </cell>
          <cell r="CT101">
            <v>0</v>
          </cell>
          <cell r="CU101">
            <v>0</v>
          </cell>
          <cell r="CV101">
            <v>0</v>
          </cell>
          <cell r="CX101">
            <v>51750</v>
          </cell>
          <cell r="CY101">
            <v>0</v>
          </cell>
          <cell r="CZ101">
            <v>80620</v>
          </cell>
          <cell r="DA101">
            <v>112569</v>
          </cell>
          <cell r="DB101">
            <v>56285</v>
          </cell>
          <cell r="DC101">
            <v>5420141.5999999996</v>
          </cell>
          <cell r="DD101">
            <v>128011.26</v>
          </cell>
          <cell r="DE101">
            <v>225138</v>
          </cell>
          <cell r="DF101">
            <v>45.4</v>
          </cell>
          <cell r="DH101">
            <v>45.163636363636364</v>
          </cell>
          <cell r="DI101">
            <v>0.23636363636363455</v>
          </cell>
          <cell r="DJ101">
            <v>45.4</v>
          </cell>
          <cell r="DK101">
            <v>45.163636363636364</v>
          </cell>
          <cell r="DL101">
            <v>0.23636363636363455</v>
          </cell>
          <cell r="DM101">
            <v>0</v>
          </cell>
          <cell r="DN101">
            <v>0</v>
          </cell>
          <cell r="DO101">
            <v>276</v>
          </cell>
          <cell r="DP101">
            <v>19.03448275862069</v>
          </cell>
        </row>
        <row r="102">
          <cell r="A102">
            <v>319</v>
          </cell>
          <cell r="B102" t="str">
            <v>Stanton</v>
          </cell>
          <cell r="C102" t="str">
            <v>ES</v>
          </cell>
          <cell r="D102">
            <v>8</v>
          </cell>
          <cell r="E102">
            <v>390</v>
          </cell>
          <cell r="F102">
            <v>0.90500000000000003</v>
          </cell>
          <cell r="G102">
            <v>353</v>
          </cell>
          <cell r="H102">
            <v>1</v>
          </cell>
          <cell r="I102">
            <v>1</v>
          </cell>
          <cell r="J102">
            <v>1</v>
          </cell>
          <cell r="M102">
            <v>1</v>
          </cell>
          <cell r="N102">
            <v>1</v>
          </cell>
          <cell r="S102">
            <v>1</v>
          </cell>
          <cell r="T102">
            <v>1</v>
          </cell>
          <cell r="U102">
            <v>2</v>
          </cell>
          <cell r="V102">
            <v>1</v>
          </cell>
          <cell r="W102">
            <v>3</v>
          </cell>
          <cell r="Y102">
            <v>2</v>
          </cell>
          <cell r="AA102">
            <v>3</v>
          </cell>
          <cell r="AB102">
            <v>5</v>
          </cell>
          <cell r="AC102">
            <v>3</v>
          </cell>
          <cell r="AD102">
            <v>17</v>
          </cell>
          <cell r="AF102">
            <v>1</v>
          </cell>
          <cell r="AG102">
            <v>2</v>
          </cell>
          <cell r="AH102">
            <v>7</v>
          </cell>
          <cell r="AI102">
            <v>4</v>
          </cell>
          <cell r="AM102">
            <v>0.09</v>
          </cell>
          <cell r="AQ102">
            <v>7</v>
          </cell>
          <cell r="AR102">
            <v>7</v>
          </cell>
          <cell r="AS102">
            <v>1</v>
          </cell>
          <cell r="AT102">
            <v>0</v>
          </cell>
          <cell r="AV102">
            <v>64600</v>
          </cell>
          <cell r="AW102">
            <v>283490.59500000003</v>
          </cell>
          <cell r="AX102">
            <v>0</v>
          </cell>
          <cell r="AY102">
            <v>0</v>
          </cell>
          <cell r="BD102">
            <v>1</v>
          </cell>
          <cell r="BG102">
            <v>0</v>
          </cell>
          <cell r="BH102">
            <v>0</v>
          </cell>
          <cell r="BI102">
            <v>0</v>
          </cell>
          <cell r="BR102">
            <v>0</v>
          </cell>
          <cell r="BS102">
            <v>0</v>
          </cell>
          <cell r="BT102">
            <v>111844</v>
          </cell>
          <cell r="BU102">
            <v>0</v>
          </cell>
          <cell r="BW102">
            <v>0</v>
          </cell>
          <cell r="BX102">
            <v>14172</v>
          </cell>
          <cell r="BY102">
            <v>2243</v>
          </cell>
          <cell r="BZ102">
            <v>1950</v>
          </cell>
          <cell r="CA102">
            <v>1950</v>
          </cell>
          <cell r="CB102">
            <v>2243</v>
          </cell>
          <cell r="CC102">
            <v>7800</v>
          </cell>
          <cell r="CF102">
            <v>0</v>
          </cell>
          <cell r="CG102">
            <v>0</v>
          </cell>
          <cell r="CJ102">
            <v>0</v>
          </cell>
          <cell r="CK102">
            <v>0</v>
          </cell>
          <cell r="CL102">
            <v>39000</v>
          </cell>
          <cell r="CM102">
            <v>86542</v>
          </cell>
          <cell r="CN102">
            <v>5245</v>
          </cell>
          <cell r="CO102">
            <v>0</v>
          </cell>
          <cell r="CP102">
            <v>0</v>
          </cell>
          <cell r="CQ102">
            <v>0</v>
          </cell>
          <cell r="CR102">
            <v>0</v>
          </cell>
          <cell r="CS102">
            <v>0</v>
          </cell>
          <cell r="CT102">
            <v>0</v>
          </cell>
          <cell r="CU102">
            <v>0</v>
          </cell>
          <cell r="CV102">
            <v>0</v>
          </cell>
          <cell r="CX102">
            <v>46125</v>
          </cell>
          <cell r="CY102">
            <v>0</v>
          </cell>
          <cell r="CZ102">
            <v>205137</v>
          </cell>
          <cell r="DA102">
            <v>156529</v>
          </cell>
          <cell r="DB102">
            <v>112569</v>
          </cell>
          <cell r="DC102">
            <v>6683576.5949999997</v>
          </cell>
          <cell r="DD102">
            <v>270080.59000000003</v>
          </cell>
          <cell r="DE102">
            <v>337707</v>
          </cell>
          <cell r="DF102">
            <v>73.09</v>
          </cell>
          <cell r="DH102">
            <v>70.790909090909111</v>
          </cell>
          <cell r="DI102">
            <v>2.2990909090908929</v>
          </cell>
          <cell r="DJ102">
            <v>58.09</v>
          </cell>
          <cell r="DK102">
            <v>62.790909090909111</v>
          </cell>
          <cell r="DL102">
            <v>-4.7009090909091071</v>
          </cell>
          <cell r="DM102">
            <v>0</v>
          </cell>
          <cell r="DN102">
            <v>15</v>
          </cell>
          <cell r="DO102">
            <v>313</v>
          </cell>
          <cell r="DP102">
            <v>18.411764705882351</v>
          </cell>
        </row>
        <row r="103">
          <cell r="A103">
            <v>1142</v>
          </cell>
          <cell r="B103" t="str">
            <v>Stevens Early Learning Center</v>
          </cell>
          <cell r="C103" t="str">
            <v>ECE</v>
          </cell>
          <cell r="D103">
            <v>2</v>
          </cell>
          <cell r="E103">
            <v>82</v>
          </cell>
          <cell r="F103">
            <v>0.19500000000000001</v>
          </cell>
          <cell r="G103">
            <v>16</v>
          </cell>
          <cell r="H103">
            <v>1</v>
          </cell>
          <cell r="I103">
            <v>1</v>
          </cell>
          <cell r="M103">
            <v>0.5</v>
          </cell>
          <cell r="N103">
            <v>1</v>
          </cell>
          <cell r="S103">
            <v>1</v>
          </cell>
          <cell r="T103">
            <v>1</v>
          </cell>
          <cell r="U103">
            <v>1</v>
          </cell>
          <cell r="V103">
            <v>0.5</v>
          </cell>
          <cell r="W103">
            <v>3</v>
          </cell>
          <cell r="Y103">
            <v>3</v>
          </cell>
          <cell r="AA103">
            <v>2</v>
          </cell>
          <cell r="AB103">
            <v>5</v>
          </cell>
          <cell r="AF103">
            <v>1</v>
          </cell>
          <cell r="AG103">
            <v>1</v>
          </cell>
          <cell r="AH103">
            <v>5</v>
          </cell>
          <cell r="AI103">
            <v>5</v>
          </cell>
          <cell r="AM103">
            <v>0.18</v>
          </cell>
          <cell r="AQ103">
            <v>2</v>
          </cell>
          <cell r="AR103">
            <v>2</v>
          </cell>
          <cell r="AS103">
            <v>1</v>
          </cell>
          <cell r="AT103">
            <v>0</v>
          </cell>
          <cell r="AV103">
            <v>23800</v>
          </cell>
          <cell r="AW103">
            <v>4053.85</v>
          </cell>
          <cell r="AX103">
            <v>0</v>
          </cell>
          <cell r="AY103">
            <v>0</v>
          </cell>
          <cell r="BG103">
            <v>0</v>
          </cell>
          <cell r="BH103">
            <v>0</v>
          </cell>
          <cell r="BI103">
            <v>0</v>
          </cell>
          <cell r="BR103">
            <v>0</v>
          </cell>
          <cell r="BS103">
            <v>0</v>
          </cell>
          <cell r="BT103">
            <v>55922</v>
          </cell>
          <cell r="BU103">
            <v>0</v>
          </cell>
          <cell r="BW103">
            <v>0</v>
          </cell>
          <cell r="BX103">
            <v>0</v>
          </cell>
          <cell r="BY103">
            <v>615</v>
          </cell>
          <cell r="BZ103">
            <v>535</v>
          </cell>
          <cell r="CA103">
            <v>535</v>
          </cell>
          <cell r="CB103">
            <v>615</v>
          </cell>
          <cell r="CC103">
            <v>2140</v>
          </cell>
          <cell r="CF103">
            <v>0</v>
          </cell>
          <cell r="CG103">
            <v>0</v>
          </cell>
          <cell r="CJ103">
            <v>0</v>
          </cell>
          <cell r="CK103">
            <v>0</v>
          </cell>
          <cell r="CL103">
            <v>8200</v>
          </cell>
          <cell r="CM103">
            <v>44280</v>
          </cell>
          <cell r="CN103">
            <v>3251</v>
          </cell>
          <cell r="CO103">
            <v>0</v>
          </cell>
          <cell r="CP103">
            <v>0</v>
          </cell>
          <cell r="CQ103">
            <v>0</v>
          </cell>
          <cell r="CR103">
            <v>0</v>
          </cell>
          <cell r="CS103">
            <v>0</v>
          </cell>
          <cell r="CT103">
            <v>0</v>
          </cell>
          <cell r="CU103">
            <v>0</v>
          </cell>
          <cell r="CV103">
            <v>0</v>
          </cell>
          <cell r="CX103">
            <v>6128</v>
          </cell>
          <cell r="CY103">
            <v>0</v>
          </cell>
          <cell r="CZ103">
            <v>0</v>
          </cell>
          <cell r="DA103">
            <v>0</v>
          </cell>
          <cell r="DB103">
            <v>0</v>
          </cell>
          <cell r="DC103">
            <v>2913770.85</v>
          </cell>
          <cell r="DD103">
            <v>34161</v>
          </cell>
          <cell r="DE103">
            <v>0</v>
          </cell>
          <cell r="DF103">
            <v>37.18</v>
          </cell>
          <cell r="DH103">
            <v>32.36363636363636</v>
          </cell>
          <cell r="DI103">
            <v>4.81636363636364</v>
          </cell>
          <cell r="DJ103">
            <v>32.18</v>
          </cell>
          <cell r="DK103">
            <v>29.36363636363636</v>
          </cell>
          <cell r="DL103">
            <v>2.81636363636364</v>
          </cell>
          <cell r="DM103">
            <v>0</v>
          </cell>
          <cell r="DN103">
            <v>5</v>
          </cell>
          <cell r="DO103">
            <v>0</v>
          </cell>
          <cell r="DP103" t="str">
            <v>N/A</v>
          </cell>
        </row>
        <row r="104">
          <cell r="A104">
            <v>321</v>
          </cell>
          <cell r="B104" t="str">
            <v>Stoddert</v>
          </cell>
          <cell r="C104" t="str">
            <v>ES</v>
          </cell>
          <cell r="D104">
            <v>3</v>
          </cell>
          <cell r="E104">
            <v>453</v>
          </cell>
          <cell r="F104">
            <v>9.2999999999999999E-2</v>
          </cell>
          <cell r="G104">
            <v>42</v>
          </cell>
          <cell r="H104">
            <v>1</v>
          </cell>
          <cell r="I104">
            <v>1</v>
          </cell>
          <cell r="J104">
            <v>1.1000000000000001</v>
          </cell>
          <cell r="M104">
            <v>1</v>
          </cell>
          <cell r="N104">
            <v>1</v>
          </cell>
          <cell r="O104">
            <v>1.1000000000000001</v>
          </cell>
          <cell r="S104">
            <v>1</v>
          </cell>
          <cell r="T104">
            <v>1</v>
          </cell>
          <cell r="U104">
            <v>2</v>
          </cell>
          <cell r="V104">
            <v>1</v>
          </cell>
          <cell r="W104">
            <v>4.5</v>
          </cell>
          <cell r="AA104">
            <v>1</v>
          </cell>
          <cell r="AB104">
            <v>1</v>
          </cell>
          <cell r="AC104">
            <v>4</v>
          </cell>
          <cell r="AD104">
            <v>23</v>
          </cell>
          <cell r="AF104">
            <v>1</v>
          </cell>
          <cell r="AG104">
            <v>1</v>
          </cell>
          <cell r="AH104">
            <v>3</v>
          </cell>
          <cell r="AL104">
            <v>5</v>
          </cell>
          <cell r="AO104">
            <v>1</v>
          </cell>
          <cell r="AT104">
            <v>0</v>
          </cell>
          <cell r="AV104">
            <v>0</v>
          </cell>
          <cell r="AW104">
            <v>0</v>
          </cell>
          <cell r="AX104">
            <v>11325</v>
          </cell>
          <cell r="AY104">
            <v>0</v>
          </cell>
          <cell r="BG104">
            <v>0</v>
          </cell>
          <cell r="BH104">
            <v>0</v>
          </cell>
          <cell r="BI104">
            <v>0</v>
          </cell>
          <cell r="BR104">
            <v>0</v>
          </cell>
          <cell r="BS104">
            <v>0</v>
          </cell>
          <cell r="BT104">
            <v>111844</v>
          </cell>
          <cell r="BU104">
            <v>0</v>
          </cell>
          <cell r="BW104">
            <v>0</v>
          </cell>
          <cell r="BX104">
            <v>0</v>
          </cell>
          <cell r="BY104">
            <v>2605</v>
          </cell>
          <cell r="BZ104">
            <v>2265</v>
          </cell>
          <cell r="CA104">
            <v>2265</v>
          </cell>
          <cell r="CB104">
            <v>2605</v>
          </cell>
          <cell r="CC104">
            <v>9060</v>
          </cell>
          <cell r="CF104">
            <v>0</v>
          </cell>
          <cell r="CG104">
            <v>0</v>
          </cell>
          <cell r="CJ104">
            <v>0</v>
          </cell>
          <cell r="CK104">
            <v>0</v>
          </cell>
          <cell r="CL104">
            <v>45300</v>
          </cell>
          <cell r="CM104">
            <v>91457</v>
          </cell>
          <cell r="CN104">
            <v>5477</v>
          </cell>
          <cell r="CO104">
            <v>0</v>
          </cell>
          <cell r="CP104">
            <v>0</v>
          </cell>
          <cell r="CQ104">
            <v>0</v>
          </cell>
          <cell r="CR104">
            <v>0</v>
          </cell>
          <cell r="CS104">
            <v>0</v>
          </cell>
          <cell r="CT104">
            <v>0</v>
          </cell>
          <cell r="CU104">
            <v>0</v>
          </cell>
          <cell r="CV104">
            <v>0</v>
          </cell>
          <cell r="CX104">
            <v>3500</v>
          </cell>
          <cell r="CY104">
            <v>0</v>
          </cell>
          <cell r="CZ104">
            <v>0</v>
          </cell>
          <cell r="DA104">
            <v>0</v>
          </cell>
          <cell r="DB104">
            <v>0</v>
          </cell>
          <cell r="DC104">
            <v>5968241</v>
          </cell>
          <cell r="DD104">
            <v>65586.710000000006</v>
          </cell>
          <cell r="DE104">
            <v>37488</v>
          </cell>
          <cell r="DF104">
            <v>55.7</v>
          </cell>
          <cell r="DH104">
            <v>56.600000000000009</v>
          </cell>
          <cell r="DI104">
            <v>-0.90000000000000568</v>
          </cell>
          <cell r="DJ104">
            <v>55.7</v>
          </cell>
          <cell r="DK104">
            <v>56.600000000000009</v>
          </cell>
          <cell r="DL104">
            <v>-0.90000000000000568</v>
          </cell>
          <cell r="DM104">
            <v>0</v>
          </cell>
          <cell r="DN104">
            <v>0</v>
          </cell>
          <cell r="DO104">
            <v>434</v>
          </cell>
          <cell r="DP104">
            <v>18.869565217391305</v>
          </cell>
        </row>
        <row r="105">
          <cell r="A105">
            <v>428</v>
          </cell>
          <cell r="B105" t="str">
            <v>Stuart-Hobson</v>
          </cell>
          <cell r="C105" t="str">
            <v>MS</v>
          </cell>
          <cell r="D105">
            <v>6</v>
          </cell>
          <cell r="E105">
            <v>507</v>
          </cell>
          <cell r="F105">
            <v>0.33500000000000002</v>
          </cell>
          <cell r="G105">
            <v>170</v>
          </cell>
          <cell r="H105">
            <v>1</v>
          </cell>
          <cell r="I105">
            <v>1</v>
          </cell>
          <cell r="J105">
            <v>1.7</v>
          </cell>
          <cell r="K105">
            <v>1.3</v>
          </cell>
          <cell r="M105">
            <v>1</v>
          </cell>
          <cell r="N105">
            <v>1</v>
          </cell>
          <cell r="O105">
            <v>1.3</v>
          </cell>
          <cell r="S105">
            <v>1</v>
          </cell>
          <cell r="T105">
            <v>1</v>
          </cell>
          <cell r="U105">
            <v>4</v>
          </cell>
          <cell r="V105">
            <v>1</v>
          </cell>
          <cell r="AD105">
            <v>23</v>
          </cell>
          <cell r="AF105">
            <v>1</v>
          </cell>
          <cell r="AG105">
            <v>2</v>
          </cell>
          <cell r="AH105">
            <v>9</v>
          </cell>
          <cell r="AI105">
            <v>3</v>
          </cell>
          <cell r="AM105">
            <v>0.36</v>
          </cell>
          <cell r="AT105">
            <v>0</v>
          </cell>
          <cell r="AV105">
            <v>0</v>
          </cell>
          <cell r="AW105">
            <v>92153.97</v>
          </cell>
          <cell r="AX105">
            <v>0</v>
          </cell>
          <cell r="AY105">
            <v>0</v>
          </cell>
          <cell r="BA105">
            <v>1</v>
          </cell>
          <cell r="BB105">
            <v>1</v>
          </cell>
          <cell r="BG105">
            <v>0</v>
          </cell>
          <cell r="BH105">
            <v>0</v>
          </cell>
          <cell r="BI105">
            <v>0</v>
          </cell>
          <cell r="BP105">
            <v>3</v>
          </cell>
          <cell r="BR105">
            <v>23000</v>
          </cell>
          <cell r="BS105">
            <v>0</v>
          </cell>
          <cell r="BT105">
            <v>244046</v>
          </cell>
          <cell r="BU105">
            <v>100000</v>
          </cell>
          <cell r="BW105">
            <v>0</v>
          </cell>
          <cell r="BX105">
            <v>3405</v>
          </cell>
          <cell r="BY105">
            <v>4664</v>
          </cell>
          <cell r="BZ105">
            <v>5070</v>
          </cell>
          <cell r="CA105">
            <v>5070</v>
          </cell>
          <cell r="CB105">
            <v>5831</v>
          </cell>
          <cell r="CC105">
            <v>10140</v>
          </cell>
          <cell r="CF105">
            <v>0</v>
          </cell>
          <cell r="CG105">
            <v>0</v>
          </cell>
          <cell r="CJ105">
            <v>0</v>
          </cell>
          <cell r="CK105">
            <v>0</v>
          </cell>
          <cell r="CL105">
            <v>50700</v>
          </cell>
          <cell r="CM105">
            <v>105228</v>
          </cell>
          <cell r="CN105">
            <v>8422</v>
          </cell>
          <cell r="CO105">
            <v>0</v>
          </cell>
          <cell r="CP105">
            <v>0</v>
          </cell>
          <cell r="CQ105">
            <v>0</v>
          </cell>
          <cell r="CR105">
            <v>0</v>
          </cell>
          <cell r="CS105">
            <v>0</v>
          </cell>
          <cell r="CT105">
            <v>0</v>
          </cell>
          <cell r="CU105">
            <v>0</v>
          </cell>
          <cell r="CV105">
            <v>0</v>
          </cell>
          <cell r="CX105">
            <v>18000</v>
          </cell>
          <cell r="CY105">
            <v>0</v>
          </cell>
          <cell r="CZ105">
            <v>0</v>
          </cell>
          <cell r="DA105">
            <v>0</v>
          </cell>
          <cell r="DB105">
            <v>-337602</v>
          </cell>
          <cell r="DC105">
            <v>6436033.9699999997</v>
          </cell>
          <cell r="DD105">
            <v>128750.27</v>
          </cell>
          <cell r="DE105">
            <v>58065</v>
          </cell>
          <cell r="DF105">
            <v>58.66</v>
          </cell>
          <cell r="DH105">
            <v>58.418181818181822</v>
          </cell>
          <cell r="DI105">
            <v>0.24181818181817505</v>
          </cell>
          <cell r="DJ105">
            <v>58.66</v>
          </cell>
          <cell r="DK105">
            <v>58.418181818181822</v>
          </cell>
          <cell r="DL105">
            <v>0.24181818181817505</v>
          </cell>
          <cell r="DM105">
            <v>0</v>
          </cell>
          <cell r="DN105">
            <v>0</v>
          </cell>
          <cell r="DO105">
            <v>507</v>
          </cell>
          <cell r="DP105">
            <v>19.5</v>
          </cell>
        </row>
        <row r="106">
          <cell r="A106">
            <v>324</v>
          </cell>
          <cell r="B106" t="str">
            <v>Takoma</v>
          </cell>
          <cell r="C106" t="str">
            <v>ES</v>
          </cell>
          <cell r="D106">
            <v>4</v>
          </cell>
          <cell r="E106">
            <v>423</v>
          </cell>
          <cell r="F106">
            <v>0.40200000000000002</v>
          </cell>
          <cell r="G106">
            <v>170</v>
          </cell>
          <cell r="H106">
            <v>1</v>
          </cell>
          <cell r="I106">
            <v>1</v>
          </cell>
          <cell r="J106">
            <v>1.1000000000000001</v>
          </cell>
          <cell r="M106">
            <v>1</v>
          </cell>
          <cell r="N106">
            <v>1</v>
          </cell>
          <cell r="O106">
            <v>1.1000000000000001</v>
          </cell>
          <cell r="S106">
            <v>1</v>
          </cell>
          <cell r="T106">
            <v>1</v>
          </cell>
          <cell r="U106">
            <v>3</v>
          </cell>
          <cell r="V106">
            <v>1</v>
          </cell>
          <cell r="W106">
            <v>4.5</v>
          </cell>
          <cell r="Y106">
            <v>2</v>
          </cell>
          <cell r="Z106">
            <v>2</v>
          </cell>
          <cell r="AA106">
            <v>2</v>
          </cell>
          <cell r="AB106">
            <v>6</v>
          </cell>
          <cell r="AC106">
            <v>3</v>
          </cell>
          <cell r="AD106">
            <v>17</v>
          </cell>
          <cell r="AF106">
            <v>1</v>
          </cell>
          <cell r="AG106">
            <v>2</v>
          </cell>
          <cell r="AH106">
            <v>8</v>
          </cell>
          <cell r="AI106">
            <v>8</v>
          </cell>
          <cell r="AK106">
            <v>1</v>
          </cell>
          <cell r="AL106">
            <v>8</v>
          </cell>
          <cell r="AO106">
            <v>1</v>
          </cell>
          <cell r="AQ106">
            <v>11</v>
          </cell>
          <cell r="AR106">
            <v>11</v>
          </cell>
          <cell r="AT106">
            <v>0</v>
          </cell>
          <cell r="AV106">
            <v>74800</v>
          </cell>
          <cell r="AW106">
            <v>191803.36000000002</v>
          </cell>
          <cell r="AX106">
            <v>0</v>
          </cell>
          <cell r="AY106">
            <v>0</v>
          </cell>
          <cell r="BG106">
            <v>0</v>
          </cell>
          <cell r="BH106">
            <v>0</v>
          </cell>
          <cell r="BI106">
            <v>0</v>
          </cell>
          <cell r="BR106">
            <v>0</v>
          </cell>
          <cell r="BS106">
            <v>0</v>
          </cell>
          <cell r="BT106">
            <v>111844</v>
          </cell>
          <cell r="BU106">
            <v>0</v>
          </cell>
          <cell r="BW106">
            <v>0</v>
          </cell>
          <cell r="BX106">
            <v>3400</v>
          </cell>
          <cell r="BY106">
            <v>2432</v>
          </cell>
          <cell r="BZ106">
            <v>2115</v>
          </cell>
          <cell r="CA106">
            <v>2115</v>
          </cell>
          <cell r="CB106">
            <v>2432</v>
          </cell>
          <cell r="CC106">
            <v>8460</v>
          </cell>
          <cell r="CF106">
            <v>0</v>
          </cell>
          <cell r="CG106">
            <v>0</v>
          </cell>
          <cell r="CJ106">
            <v>0</v>
          </cell>
          <cell r="CK106">
            <v>0</v>
          </cell>
          <cell r="CL106">
            <v>42300</v>
          </cell>
          <cell r="CM106">
            <v>115898</v>
          </cell>
          <cell r="CN106">
            <v>8049</v>
          </cell>
          <cell r="CO106">
            <v>0</v>
          </cell>
          <cell r="CP106">
            <v>0</v>
          </cell>
          <cell r="CQ106">
            <v>0</v>
          </cell>
          <cell r="CR106">
            <v>0</v>
          </cell>
          <cell r="CS106">
            <v>0</v>
          </cell>
          <cell r="CT106">
            <v>0</v>
          </cell>
          <cell r="CU106">
            <v>0</v>
          </cell>
          <cell r="CV106">
            <v>0</v>
          </cell>
          <cell r="CX106">
            <v>38675</v>
          </cell>
          <cell r="CY106">
            <v>0</v>
          </cell>
          <cell r="CZ106">
            <v>616926</v>
          </cell>
          <cell r="DA106">
            <v>0</v>
          </cell>
          <cell r="DB106">
            <v>10200</v>
          </cell>
          <cell r="DC106">
            <v>8504877.3599999994</v>
          </cell>
          <cell r="DD106">
            <v>113972.82</v>
          </cell>
          <cell r="DE106">
            <v>378024</v>
          </cell>
          <cell r="DF106">
            <v>99.7</v>
          </cell>
          <cell r="DH106">
            <v>99.100000000000009</v>
          </cell>
          <cell r="DI106">
            <v>0.59999999999999432</v>
          </cell>
          <cell r="DJ106">
            <v>77.7</v>
          </cell>
          <cell r="DK106">
            <v>87.100000000000009</v>
          </cell>
          <cell r="DL106">
            <v>-9.4000000000000057</v>
          </cell>
          <cell r="DM106">
            <v>0</v>
          </cell>
          <cell r="DN106">
            <v>22</v>
          </cell>
          <cell r="DO106">
            <v>327</v>
          </cell>
          <cell r="DP106">
            <v>19.235294117647058</v>
          </cell>
        </row>
        <row r="107">
          <cell r="A107">
            <v>325</v>
          </cell>
          <cell r="B107" t="str">
            <v>Thomas</v>
          </cell>
          <cell r="C107" t="str">
            <v>ES</v>
          </cell>
          <cell r="D107">
            <v>7</v>
          </cell>
          <cell r="E107">
            <v>318</v>
          </cell>
          <cell r="F107">
            <v>0.82099999999999995</v>
          </cell>
          <cell r="G107">
            <v>261</v>
          </cell>
          <cell r="H107">
            <v>1</v>
          </cell>
          <cell r="I107">
            <v>1</v>
          </cell>
          <cell r="J107">
            <v>0.8</v>
          </cell>
          <cell r="M107">
            <v>1</v>
          </cell>
          <cell r="N107">
            <v>1</v>
          </cell>
          <cell r="S107">
            <v>1</v>
          </cell>
          <cell r="T107">
            <v>1</v>
          </cell>
          <cell r="U107">
            <v>2</v>
          </cell>
          <cell r="V107">
            <v>1</v>
          </cell>
          <cell r="W107">
            <v>3</v>
          </cell>
          <cell r="Y107">
            <v>2</v>
          </cell>
          <cell r="Z107">
            <v>2</v>
          </cell>
          <cell r="AA107">
            <v>1</v>
          </cell>
          <cell r="AB107">
            <v>5</v>
          </cell>
          <cell r="AC107">
            <v>3</v>
          </cell>
          <cell r="AD107">
            <v>13</v>
          </cell>
          <cell r="AF107">
            <v>1</v>
          </cell>
          <cell r="AG107">
            <v>1</v>
          </cell>
          <cell r="AH107">
            <v>7</v>
          </cell>
          <cell r="AI107">
            <v>5</v>
          </cell>
          <cell r="AM107">
            <v>0.23</v>
          </cell>
          <cell r="AQ107">
            <v>5</v>
          </cell>
          <cell r="AR107">
            <v>5</v>
          </cell>
          <cell r="AS107">
            <v>1</v>
          </cell>
          <cell r="AT107">
            <v>0</v>
          </cell>
          <cell r="AV107">
            <v>44200</v>
          </cell>
          <cell r="AW107">
            <v>250842.875</v>
          </cell>
          <cell r="AX107">
            <v>0</v>
          </cell>
          <cell r="AY107">
            <v>0</v>
          </cell>
          <cell r="BD107">
            <v>1</v>
          </cell>
          <cell r="BG107">
            <v>0</v>
          </cell>
          <cell r="BH107">
            <v>0</v>
          </cell>
          <cell r="BI107">
            <v>0</v>
          </cell>
          <cell r="BR107">
            <v>0</v>
          </cell>
          <cell r="BS107">
            <v>0</v>
          </cell>
          <cell r="BT107">
            <v>55922</v>
          </cell>
          <cell r="BU107">
            <v>0</v>
          </cell>
          <cell r="BW107">
            <v>0</v>
          </cell>
          <cell r="BX107">
            <v>10475</v>
          </cell>
          <cell r="BY107">
            <v>1829</v>
          </cell>
          <cell r="BZ107">
            <v>1590</v>
          </cell>
          <cell r="CA107">
            <v>1590</v>
          </cell>
          <cell r="CB107">
            <v>1829</v>
          </cell>
          <cell r="CC107">
            <v>6360</v>
          </cell>
          <cell r="CF107">
            <v>0</v>
          </cell>
          <cell r="CG107">
            <v>0</v>
          </cell>
          <cell r="CJ107">
            <v>0</v>
          </cell>
          <cell r="CK107">
            <v>0</v>
          </cell>
          <cell r="CL107">
            <v>31800</v>
          </cell>
          <cell r="CM107">
            <v>77827</v>
          </cell>
          <cell r="CN107">
            <v>5394</v>
          </cell>
          <cell r="CO107">
            <v>0</v>
          </cell>
          <cell r="CP107">
            <v>0</v>
          </cell>
          <cell r="CQ107">
            <v>0</v>
          </cell>
          <cell r="CR107">
            <v>0</v>
          </cell>
          <cell r="CS107">
            <v>0</v>
          </cell>
          <cell r="CT107">
            <v>0</v>
          </cell>
          <cell r="CU107">
            <v>13859</v>
          </cell>
          <cell r="CV107">
            <v>0</v>
          </cell>
          <cell r="CX107">
            <v>28275</v>
          </cell>
          <cell r="CY107">
            <v>0</v>
          </cell>
          <cell r="CZ107">
            <v>0</v>
          </cell>
          <cell r="DA107">
            <v>0</v>
          </cell>
          <cell r="DB107">
            <v>0</v>
          </cell>
          <cell r="DC107">
            <v>5512626.875</v>
          </cell>
          <cell r="DD107">
            <v>241621.21</v>
          </cell>
          <cell r="DE107">
            <v>168018</v>
          </cell>
          <cell r="DF107">
            <v>65.03</v>
          </cell>
          <cell r="DH107">
            <v>60.572727272727271</v>
          </cell>
          <cell r="DI107">
            <v>4.4572727272727306</v>
          </cell>
          <cell r="DJ107">
            <v>54.029999999999994</v>
          </cell>
          <cell r="DK107">
            <v>54.572727272727271</v>
          </cell>
          <cell r="DL107">
            <v>-0.5427272727272765</v>
          </cell>
          <cell r="DM107">
            <v>0</v>
          </cell>
          <cell r="DN107">
            <v>11</v>
          </cell>
          <cell r="DO107">
            <v>239</v>
          </cell>
          <cell r="DP107">
            <v>18.384615384615383</v>
          </cell>
        </row>
        <row r="108">
          <cell r="A108">
            <v>326</v>
          </cell>
          <cell r="B108" t="str">
            <v>Thomson</v>
          </cell>
          <cell r="C108" t="str">
            <v>ES</v>
          </cell>
          <cell r="D108">
            <v>2</v>
          </cell>
          <cell r="E108">
            <v>300</v>
          </cell>
          <cell r="F108">
            <v>0.437</v>
          </cell>
          <cell r="G108">
            <v>131</v>
          </cell>
          <cell r="H108">
            <v>1</v>
          </cell>
          <cell r="I108">
            <v>1</v>
          </cell>
          <cell r="J108">
            <v>0.8</v>
          </cell>
          <cell r="M108">
            <v>1</v>
          </cell>
          <cell r="N108">
            <v>1</v>
          </cell>
          <cell r="S108">
            <v>1</v>
          </cell>
          <cell r="T108">
            <v>1</v>
          </cell>
          <cell r="U108">
            <v>2</v>
          </cell>
          <cell r="V108">
            <v>1</v>
          </cell>
          <cell r="W108">
            <v>3</v>
          </cell>
          <cell r="Z108">
            <v>5</v>
          </cell>
          <cell r="AB108">
            <v>5</v>
          </cell>
          <cell r="AC108">
            <v>2</v>
          </cell>
          <cell r="AD108">
            <v>11</v>
          </cell>
          <cell r="AF108">
            <v>1</v>
          </cell>
          <cell r="AG108">
            <v>1</v>
          </cell>
          <cell r="AH108">
            <v>3</v>
          </cell>
          <cell r="AL108">
            <v>6</v>
          </cell>
          <cell r="AO108">
            <v>1</v>
          </cell>
          <cell r="AQ108">
            <v>8</v>
          </cell>
          <cell r="AR108">
            <v>8</v>
          </cell>
          <cell r="AS108">
            <v>1</v>
          </cell>
          <cell r="AT108">
            <v>0</v>
          </cell>
          <cell r="AV108">
            <v>71400</v>
          </cell>
          <cell r="AW108">
            <v>136028.46999999997</v>
          </cell>
          <cell r="AX108">
            <v>0</v>
          </cell>
          <cell r="AY108">
            <v>0</v>
          </cell>
          <cell r="AZ108">
            <v>1</v>
          </cell>
          <cell r="BG108">
            <v>0</v>
          </cell>
          <cell r="BH108">
            <v>0</v>
          </cell>
          <cell r="BI108">
            <v>0</v>
          </cell>
          <cell r="BR108">
            <v>0</v>
          </cell>
          <cell r="BS108">
            <v>0</v>
          </cell>
          <cell r="BT108">
            <v>55922</v>
          </cell>
          <cell r="BU108">
            <v>0</v>
          </cell>
          <cell r="BW108">
            <v>0</v>
          </cell>
          <cell r="BX108">
            <v>2623</v>
          </cell>
          <cell r="BY108">
            <v>1725</v>
          </cell>
          <cell r="BZ108">
            <v>1500</v>
          </cell>
          <cell r="CA108">
            <v>1500</v>
          </cell>
          <cell r="CB108">
            <v>1725</v>
          </cell>
          <cell r="CC108">
            <v>6000</v>
          </cell>
          <cell r="CF108">
            <v>0</v>
          </cell>
          <cell r="CG108">
            <v>0</v>
          </cell>
          <cell r="CJ108">
            <v>0</v>
          </cell>
          <cell r="CK108">
            <v>0</v>
          </cell>
          <cell r="CL108">
            <v>30000</v>
          </cell>
          <cell r="CM108">
            <v>77491</v>
          </cell>
          <cell r="CN108">
            <v>4177</v>
          </cell>
          <cell r="CO108">
            <v>0</v>
          </cell>
          <cell r="CP108">
            <v>0</v>
          </cell>
          <cell r="CQ108">
            <v>0</v>
          </cell>
          <cell r="CR108">
            <v>0</v>
          </cell>
          <cell r="CS108">
            <v>0</v>
          </cell>
          <cell r="CT108">
            <v>0</v>
          </cell>
          <cell r="CU108">
            <v>0</v>
          </cell>
          <cell r="CV108">
            <v>20955</v>
          </cell>
          <cell r="CX108">
            <v>10575</v>
          </cell>
          <cell r="CY108">
            <v>0</v>
          </cell>
          <cell r="CZ108">
            <v>88329</v>
          </cell>
          <cell r="DA108">
            <v>0</v>
          </cell>
          <cell r="DB108">
            <v>0</v>
          </cell>
          <cell r="DC108">
            <v>5370652.4699999997</v>
          </cell>
          <cell r="DD108">
            <v>127283.02</v>
          </cell>
          <cell r="DE108">
            <v>251984</v>
          </cell>
          <cell r="DF108">
            <v>65.8</v>
          </cell>
          <cell r="DH108">
            <v>59.3</v>
          </cell>
          <cell r="DI108">
            <v>6.5</v>
          </cell>
          <cell r="DJ108">
            <v>48.8</v>
          </cell>
          <cell r="DK108">
            <v>52.3</v>
          </cell>
          <cell r="DL108">
            <v>-3.5</v>
          </cell>
          <cell r="DM108">
            <v>0</v>
          </cell>
          <cell r="DN108">
            <v>17</v>
          </cell>
          <cell r="DO108">
            <v>220</v>
          </cell>
          <cell r="DP108">
            <v>20</v>
          </cell>
        </row>
        <row r="109">
          <cell r="A109">
            <v>327</v>
          </cell>
          <cell r="B109" t="str">
            <v>Truesdell</v>
          </cell>
          <cell r="C109" t="str">
            <v>ES</v>
          </cell>
          <cell r="D109">
            <v>4</v>
          </cell>
          <cell r="E109">
            <v>489</v>
          </cell>
          <cell r="F109">
            <v>0.624</v>
          </cell>
          <cell r="G109">
            <v>305</v>
          </cell>
          <cell r="H109">
            <v>1</v>
          </cell>
          <cell r="I109">
            <v>1</v>
          </cell>
          <cell r="J109">
            <v>1.2</v>
          </cell>
          <cell r="M109">
            <v>1</v>
          </cell>
          <cell r="N109">
            <v>1</v>
          </cell>
          <cell r="O109">
            <v>1.2</v>
          </cell>
          <cell r="S109">
            <v>1</v>
          </cell>
          <cell r="T109">
            <v>1</v>
          </cell>
          <cell r="U109">
            <v>2</v>
          </cell>
          <cell r="V109">
            <v>1</v>
          </cell>
          <cell r="W109">
            <v>4.5</v>
          </cell>
          <cell r="Y109">
            <v>3</v>
          </cell>
          <cell r="Z109">
            <v>1</v>
          </cell>
          <cell r="AA109">
            <v>3</v>
          </cell>
          <cell r="AB109">
            <v>7</v>
          </cell>
          <cell r="AC109">
            <v>4</v>
          </cell>
          <cell r="AD109">
            <v>20</v>
          </cell>
          <cell r="AF109">
            <v>1</v>
          </cell>
          <cell r="AG109">
            <v>4</v>
          </cell>
          <cell r="AH109">
            <v>7</v>
          </cell>
          <cell r="AI109">
            <v>2</v>
          </cell>
          <cell r="AJ109">
            <v>2</v>
          </cell>
          <cell r="AL109">
            <v>13</v>
          </cell>
          <cell r="AO109">
            <v>3</v>
          </cell>
          <cell r="AQ109">
            <v>8</v>
          </cell>
          <cell r="AR109">
            <v>8</v>
          </cell>
          <cell r="AS109">
            <v>1</v>
          </cell>
          <cell r="AT109">
            <v>0</v>
          </cell>
          <cell r="AV109">
            <v>64600</v>
          </cell>
          <cell r="AW109">
            <v>221729.75</v>
          </cell>
          <cell r="AX109">
            <v>0</v>
          </cell>
          <cell r="AY109">
            <v>0</v>
          </cell>
          <cell r="BG109">
            <v>0</v>
          </cell>
          <cell r="BH109">
            <v>0</v>
          </cell>
          <cell r="BI109">
            <v>0</v>
          </cell>
          <cell r="BR109">
            <v>0</v>
          </cell>
          <cell r="BS109">
            <v>0</v>
          </cell>
          <cell r="BT109">
            <v>111844</v>
          </cell>
          <cell r="BU109">
            <v>0</v>
          </cell>
          <cell r="BW109">
            <v>0</v>
          </cell>
          <cell r="BX109">
            <v>6105</v>
          </cell>
          <cell r="BY109">
            <v>2812</v>
          </cell>
          <cell r="BZ109">
            <v>2445</v>
          </cell>
          <cell r="CA109">
            <v>2445</v>
          </cell>
          <cell r="CB109">
            <v>2812</v>
          </cell>
          <cell r="CC109">
            <v>9780</v>
          </cell>
          <cell r="CF109">
            <v>0</v>
          </cell>
          <cell r="CG109">
            <v>0</v>
          </cell>
          <cell r="CJ109">
            <v>0</v>
          </cell>
          <cell r="CK109">
            <v>0</v>
          </cell>
          <cell r="CL109">
            <v>48900</v>
          </cell>
          <cell r="CM109">
            <v>134638</v>
          </cell>
          <cell r="CN109">
            <v>4652</v>
          </cell>
          <cell r="CO109">
            <v>0</v>
          </cell>
          <cell r="CP109">
            <v>0</v>
          </cell>
          <cell r="CQ109">
            <v>0</v>
          </cell>
          <cell r="CR109">
            <v>0</v>
          </cell>
          <cell r="CS109">
            <v>0</v>
          </cell>
          <cell r="CT109">
            <v>0</v>
          </cell>
          <cell r="CU109">
            <v>0</v>
          </cell>
          <cell r="CV109">
            <v>0</v>
          </cell>
          <cell r="CX109">
            <v>26675</v>
          </cell>
          <cell r="CY109">
            <v>0</v>
          </cell>
          <cell r="CZ109">
            <v>260048</v>
          </cell>
          <cell r="DA109">
            <v>0</v>
          </cell>
          <cell r="DB109">
            <v>0</v>
          </cell>
          <cell r="DC109">
            <v>9316454.75</v>
          </cell>
          <cell r="DD109">
            <v>279778.52</v>
          </cell>
          <cell r="DE109">
            <v>426475</v>
          </cell>
          <cell r="DF109">
            <v>102.9</v>
          </cell>
          <cell r="DH109">
            <v>92.100000000000009</v>
          </cell>
          <cell r="DI109">
            <v>10.799999999999997</v>
          </cell>
          <cell r="DJ109">
            <v>85.9</v>
          </cell>
          <cell r="DK109">
            <v>84.100000000000009</v>
          </cell>
          <cell r="DL109">
            <v>1.7999999999999972</v>
          </cell>
          <cell r="DM109">
            <v>0</v>
          </cell>
          <cell r="DN109">
            <v>17</v>
          </cell>
          <cell r="DO109">
            <v>379</v>
          </cell>
          <cell r="DP109">
            <v>18.95</v>
          </cell>
        </row>
        <row r="110">
          <cell r="A110">
            <v>328</v>
          </cell>
          <cell r="B110" t="str">
            <v>Tubman</v>
          </cell>
          <cell r="C110" t="str">
            <v>ES</v>
          </cell>
          <cell r="D110">
            <v>1</v>
          </cell>
          <cell r="E110">
            <v>549</v>
          </cell>
          <cell r="F110">
            <v>0.53600000000000003</v>
          </cell>
          <cell r="G110">
            <v>294</v>
          </cell>
          <cell r="H110">
            <v>1</v>
          </cell>
          <cell r="I110">
            <v>1</v>
          </cell>
          <cell r="J110">
            <v>1.4</v>
          </cell>
          <cell r="M110">
            <v>1</v>
          </cell>
          <cell r="N110">
            <v>1</v>
          </cell>
          <cell r="O110">
            <v>1.4</v>
          </cell>
          <cell r="S110">
            <v>1</v>
          </cell>
          <cell r="T110">
            <v>1</v>
          </cell>
          <cell r="U110">
            <v>3</v>
          </cell>
          <cell r="V110">
            <v>1</v>
          </cell>
          <cell r="W110">
            <v>4.5</v>
          </cell>
          <cell r="Z110">
            <v>4</v>
          </cell>
          <cell r="AB110">
            <v>4</v>
          </cell>
          <cell r="AC110">
            <v>4</v>
          </cell>
          <cell r="AD110">
            <v>23</v>
          </cell>
          <cell r="AF110">
            <v>1</v>
          </cell>
          <cell r="AG110">
            <v>2</v>
          </cell>
          <cell r="AH110">
            <v>9</v>
          </cell>
          <cell r="AI110">
            <v>4</v>
          </cell>
          <cell r="AL110">
            <v>15</v>
          </cell>
          <cell r="AN110">
            <v>1</v>
          </cell>
          <cell r="AO110">
            <v>3</v>
          </cell>
          <cell r="AT110">
            <v>0</v>
          </cell>
          <cell r="AV110">
            <v>0</v>
          </cell>
          <cell r="AW110">
            <v>248934.06</v>
          </cell>
          <cell r="AX110">
            <v>0</v>
          </cell>
          <cell r="AY110">
            <v>0</v>
          </cell>
          <cell r="BG110">
            <v>0</v>
          </cell>
          <cell r="BH110">
            <v>0</v>
          </cell>
          <cell r="BI110">
            <v>0</v>
          </cell>
          <cell r="BR110">
            <v>0</v>
          </cell>
          <cell r="BS110">
            <v>0</v>
          </cell>
          <cell r="BT110">
            <v>111844</v>
          </cell>
          <cell r="BU110">
            <v>0</v>
          </cell>
          <cell r="BW110">
            <v>0</v>
          </cell>
          <cell r="BX110">
            <v>5875</v>
          </cell>
          <cell r="BY110">
            <v>3157</v>
          </cell>
          <cell r="BZ110">
            <v>2745</v>
          </cell>
          <cell r="CA110">
            <v>2745</v>
          </cell>
          <cell r="CB110">
            <v>3157</v>
          </cell>
          <cell r="CC110">
            <v>10980</v>
          </cell>
          <cell r="CF110">
            <v>0</v>
          </cell>
          <cell r="CG110">
            <v>0</v>
          </cell>
          <cell r="CJ110">
            <v>0</v>
          </cell>
          <cell r="CK110">
            <v>0</v>
          </cell>
          <cell r="CL110">
            <v>54900</v>
          </cell>
          <cell r="CM110">
            <v>137973</v>
          </cell>
          <cell r="CN110">
            <v>5362</v>
          </cell>
          <cell r="CO110">
            <v>0</v>
          </cell>
          <cell r="CP110">
            <v>0</v>
          </cell>
          <cell r="CQ110">
            <v>0</v>
          </cell>
          <cell r="CR110">
            <v>0</v>
          </cell>
          <cell r="CS110">
            <v>0</v>
          </cell>
          <cell r="CT110">
            <v>0</v>
          </cell>
          <cell r="CU110">
            <v>0</v>
          </cell>
          <cell r="CV110">
            <v>0</v>
          </cell>
          <cell r="CX110">
            <v>33150</v>
          </cell>
          <cell r="CY110">
            <v>0</v>
          </cell>
          <cell r="CZ110">
            <v>0</v>
          </cell>
          <cell r="DA110">
            <v>112569</v>
          </cell>
          <cell r="DB110">
            <v>337707</v>
          </cell>
          <cell r="DC110">
            <v>9640804.0600000005</v>
          </cell>
          <cell r="DD110">
            <v>147699.26999999999</v>
          </cell>
          <cell r="DE110">
            <v>345319</v>
          </cell>
          <cell r="DF110">
            <v>87.3</v>
          </cell>
          <cell r="DH110">
            <v>91</v>
          </cell>
          <cell r="DI110">
            <v>-3.7000000000000028</v>
          </cell>
          <cell r="DJ110">
            <v>87.3</v>
          </cell>
          <cell r="DK110">
            <v>91</v>
          </cell>
          <cell r="DL110">
            <v>-3.7000000000000028</v>
          </cell>
          <cell r="DM110">
            <v>0</v>
          </cell>
          <cell r="DN110">
            <v>0</v>
          </cell>
          <cell r="DO110">
            <v>485</v>
          </cell>
          <cell r="DP110">
            <v>21.086956521739129</v>
          </cell>
        </row>
        <row r="111">
          <cell r="A111">
            <v>329</v>
          </cell>
          <cell r="B111" t="str">
            <v>Turner</v>
          </cell>
          <cell r="C111" t="str">
            <v>ES</v>
          </cell>
          <cell r="D111">
            <v>8</v>
          </cell>
          <cell r="E111">
            <v>489</v>
          </cell>
          <cell r="F111">
            <v>0.78900000000000003</v>
          </cell>
          <cell r="G111">
            <v>386</v>
          </cell>
          <cell r="H111">
            <v>1</v>
          </cell>
          <cell r="I111">
            <v>1</v>
          </cell>
          <cell r="J111">
            <v>1.2</v>
          </cell>
          <cell r="M111">
            <v>1</v>
          </cell>
          <cell r="N111">
            <v>1</v>
          </cell>
          <cell r="O111">
            <v>1.2</v>
          </cell>
          <cell r="S111">
            <v>1</v>
          </cell>
          <cell r="T111">
            <v>1</v>
          </cell>
          <cell r="U111">
            <v>2</v>
          </cell>
          <cell r="V111">
            <v>1</v>
          </cell>
          <cell r="W111">
            <v>4.5</v>
          </cell>
          <cell r="X111">
            <v>0.5</v>
          </cell>
          <cell r="Y111">
            <v>2</v>
          </cell>
          <cell r="Z111">
            <v>1</v>
          </cell>
          <cell r="AA111">
            <v>2</v>
          </cell>
          <cell r="AB111">
            <v>5</v>
          </cell>
          <cell r="AC111">
            <v>3</v>
          </cell>
          <cell r="AD111">
            <v>18</v>
          </cell>
          <cell r="AF111">
            <v>1</v>
          </cell>
          <cell r="AG111">
            <v>2</v>
          </cell>
          <cell r="AH111">
            <v>8</v>
          </cell>
          <cell r="AI111">
            <v>4</v>
          </cell>
          <cell r="AM111">
            <v>0.09</v>
          </cell>
          <cell r="AQ111">
            <v>6</v>
          </cell>
          <cell r="AR111">
            <v>6</v>
          </cell>
          <cell r="AS111">
            <v>1</v>
          </cell>
          <cell r="AT111">
            <v>0</v>
          </cell>
          <cell r="AV111">
            <v>51000</v>
          </cell>
          <cell r="AW111">
            <v>221730.03</v>
          </cell>
          <cell r="AX111">
            <v>0</v>
          </cell>
          <cell r="AY111">
            <v>0</v>
          </cell>
          <cell r="AZ111">
            <v>1</v>
          </cell>
          <cell r="BG111">
            <v>0</v>
          </cell>
          <cell r="BH111">
            <v>0</v>
          </cell>
          <cell r="BI111">
            <v>0</v>
          </cell>
          <cell r="BR111">
            <v>0</v>
          </cell>
          <cell r="BS111">
            <v>0</v>
          </cell>
          <cell r="BT111">
            <v>132202</v>
          </cell>
          <cell r="BU111">
            <v>0</v>
          </cell>
          <cell r="BW111">
            <v>0</v>
          </cell>
          <cell r="BX111">
            <v>15481</v>
          </cell>
          <cell r="BY111">
            <v>2812</v>
          </cell>
          <cell r="BZ111">
            <v>2445</v>
          </cell>
          <cell r="CA111">
            <v>2445</v>
          </cell>
          <cell r="CB111">
            <v>2812</v>
          </cell>
          <cell r="CC111">
            <v>9780</v>
          </cell>
          <cell r="CF111">
            <v>0</v>
          </cell>
          <cell r="CG111">
            <v>0</v>
          </cell>
          <cell r="CJ111">
            <v>0</v>
          </cell>
          <cell r="CK111">
            <v>0</v>
          </cell>
          <cell r="CL111">
            <v>48900</v>
          </cell>
          <cell r="CM111">
            <v>97159</v>
          </cell>
          <cell r="CN111">
            <v>6815</v>
          </cell>
          <cell r="CO111">
            <v>0</v>
          </cell>
          <cell r="CP111">
            <v>0</v>
          </cell>
          <cell r="CQ111">
            <v>0</v>
          </cell>
          <cell r="CR111">
            <v>0</v>
          </cell>
          <cell r="CS111">
            <v>0</v>
          </cell>
          <cell r="CT111">
            <v>0</v>
          </cell>
          <cell r="CU111">
            <v>0</v>
          </cell>
          <cell r="CV111">
            <v>21955</v>
          </cell>
          <cell r="CX111">
            <v>47625</v>
          </cell>
          <cell r="CY111">
            <v>0</v>
          </cell>
          <cell r="CZ111">
            <v>0</v>
          </cell>
          <cell r="DA111">
            <v>0</v>
          </cell>
          <cell r="DB111">
            <v>112569</v>
          </cell>
          <cell r="DC111">
            <v>6851134.0300000003</v>
          </cell>
          <cell r="DD111">
            <v>312119.38</v>
          </cell>
          <cell r="DE111">
            <v>412683</v>
          </cell>
          <cell r="DF111">
            <v>76.490000000000009</v>
          </cell>
          <cell r="DH111">
            <v>70.736363636363635</v>
          </cell>
          <cell r="DI111">
            <v>5.7536363636363745</v>
          </cell>
          <cell r="DJ111">
            <v>63.49</v>
          </cell>
          <cell r="DK111">
            <v>64.736363636363635</v>
          </cell>
          <cell r="DL111">
            <v>-1.2463636363636326</v>
          </cell>
          <cell r="DM111">
            <v>0</v>
          </cell>
          <cell r="DN111">
            <v>13</v>
          </cell>
          <cell r="DO111">
            <v>406</v>
          </cell>
          <cell r="DP111">
            <v>22.555555555555557</v>
          </cell>
        </row>
        <row r="112">
          <cell r="A112">
            <v>330</v>
          </cell>
          <cell r="B112" t="str">
            <v>Tyler</v>
          </cell>
          <cell r="C112" t="str">
            <v>ES</v>
          </cell>
          <cell r="D112">
            <v>6</v>
          </cell>
          <cell r="E112">
            <v>547</v>
          </cell>
          <cell r="F112">
            <v>0.38400000000000001</v>
          </cell>
          <cell r="G112">
            <v>210</v>
          </cell>
          <cell r="H112">
            <v>1</v>
          </cell>
          <cell r="I112">
            <v>1</v>
          </cell>
          <cell r="J112">
            <v>1.4</v>
          </cell>
          <cell r="M112">
            <v>1</v>
          </cell>
          <cell r="N112">
            <v>1</v>
          </cell>
          <cell r="O112">
            <v>1.4</v>
          </cell>
          <cell r="S112">
            <v>1</v>
          </cell>
          <cell r="T112">
            <v>1</v>
          </cell>
          <cell r="U112">
            <v>3</v>
          </cell>
          <cell r="V112">
            <v>1</v>
          </cell>
          <cell r="W112">
            <v>4.5</v>
          </cell>
          <cell r="Y112">
            <v>4</v>
          </cell>
          <cell r="AA112">
            <v>4</v>
          </cell>
          <cell r="AB112">
            <v>8</v>
          </cell>
          <cell r="AC112">
            <v>4</v>
          </cell>
          <cell r="AD112">
            <v>22</v>
          </cell>
          <cell r="AF112">
            <v>1</v>
          </cell>
          <cell r="AG112">
            <v>2</v>
          </cell>
          <cell r="AH112">
            <v>9</v>
          </cell>
          <cell r="AI112">
            <v>7</v>
          </cell>
          <cell r="AL112">
            <v>1</v>
          </cell>
          <cell r="AQ112">
            <v>5</v>
          </cell>
          <cell r="AR112">
            <v>5</v>
          </cell>
          <cell r="AS112">
            <v>1</v>
          </cell>
          <cell r="AT112">
            <v>0</v>
          </cell>
          <cell r="AV112">
            <v>37400</v>
          </cell>
          <cell r="AW112">
            <v>248027.79</v>
          </cell>
          <cell r="AX112">
            <v>0</v>
          </cell>
          <cell r="AY112">
            <v>0</v>
          </cell>
          <cell r="BG112">
            <v>0</v>
          </cell>
          <cell r="BH112">
            <v>0</v>
          </cell>
          <cell r="BI112">
            <v>0</v>
          </cell>
          <cell r="BR112">
            <v>0</v>
          </cell>
          <cell r="BS112">
            <v>0</v>
          </cell>
          <cell r="BT112">
            <v>111844</v>
          </cell>
          <cell r="BU112">
            <v>0</v>
          </cell>
          <cell r="BW112">
            <v>0</v>
          </cell>
          <cell r="BX112">
            <v>4209</v>
          </cell>
          <cell r="BY112">
            <v>3145</v>
          </cell>
          <cell r="BZ112">
            <v>2735</v>
          </cell>
          <cell r="CA112">
            <v>2735</v>
          </cell>
          <cell r="CB112">
            <v>3145</v>
          </cell>
          <cell r="CC112">
            <v>10940</v>
          </cell>
          <cell r="CF112">
            <v>0</v>
          </cell>
          <cell r="CG112">
            <v>0</v>
          </cell>
          <cell r="CJ112">
            <v>0</v>
          </cell>
          <cell r="CK112">
            <v>0</v>
          </cell>
          <cell r="CL112">
            <v>54700</v>
          </cell>
          <cell r="CM112">
            <v>116221</v>
          </cell>
          <cell r="CN112">
            <v>5831</v>
          </cell>
          <cell r="CO112">
            <v>0</v>
          </cell>
          <cell r="CP112">
            <v>0</v>
          </cell>
          <cell r="CQ112">
            <v>0</v>
          </cell>
          <cell r="CR112">
            <v>0</v>
          </cell>
          <cell r="CS112">
            <v>0</v>
          </cell>
          <cell r="CT112">
            <v>0</v>
          </cell>
          <cell r="CU112">
            <v>13859</v>
          </cell>
          <cell r="CV112">
            <v>0</v>
          </cell>
          <cell r="CX112">
            <v>14575</v>
          </cell>
          <cell r="CY112">
            <v>0</v>
          </cell>
          <cell r="CZ112">
            <v>0</v>
          </cell>
          <cell r="DA112">
            <v>0</v>
          </cell>
          <cell r="DB112">
            <v>43787</v>
          </cell>
          <cell r="DC112">
            <v>7932621.79</v>
          </cell>
          <cell r="DD112">
            <v>148342.76999999999</v>
          </cell>
          <cell r="DE112">
            <v>160874</v>
          </cell>
          <cell r="DF112">
            <v>90.3</v>
          </cell>
          <cell r="DH112">
            <v>86.300000000000011</v>
          </cell>
          <cell r="DI112">
            <v>3.9999999999999858</v>
          </cell>
          <cell r="DJ112">
            <v>79.3</v>
          </cell>
          <cell r="DK112">
            <v>80.300000000000011</v>
          </cell>
          <cell r="DL112">
            <v>-1.0000000000000142</v>
          </cell>
          <cell r="DM112">
            <v>0</v>
          </cell>
          <cell r="DN112">
            <v>11</v>
          </cell>
          <cell r="DO112">
            <v>418</v>
          </cell>
          <cell r="DP112">
            <v>19</v>
          </cell>
        </row>
        <row r="113">
          <cell r="A113">
            <v>331</v>
          </cell>
          <cell r="B113" t="str">
            <v>Van Ness</v>
          </cell>
          <cell r="C113" t="str">
            <v>ES</v>
          </cell>
          <cell r="D113">
            <v>6</v>
          </cell>
          <cell r="E113">
            <v>366</v>
          </cell>
          <cell r="F113">
            <v>0.30099999999999999</v>
          </cell>
          <cell r="G113">
            <v>110</v>
          </cell>
          <cell r="H113">
            <v>1</v>
          </cell>
          <cell r="I113">
            <v>1</v>
          </cell>
          <cell r="J113">
            <v>0.9</v>
          </cell>
          <cell r="M113">
            <v>1</v>
          </cell>
          <cell r="N113">
            <v>1</v>
          </cell>
          <cell r="S113">
            <v>1</v>
          </cell>
          <cell r="T113">
            <v>1</v>
          </cell>
          <cell r="U113">
            <v>2</v>
          </cell>
          <cell r="V113">
            <v>1</v>
          </cell>
          <cell r="W113">
            <v>3</v>
          </cell>
          <cell r="Y113">
            <v>2</v>
          </cell>
          <cell r="AA113">
            <v>2</v>
          </cell>
          <cell r="AB113">
            <v>4</v>
          </cell>
          <cell r="AC113">
            <v>3</v>
          </cell>
          <cell r="AD113">
            <v>16</v>
          </cell>
          <cell r="AF113">
            <v>1</v>
          </cell>
          <cell r="AG113">
            <v>1</v>
          </cell>
          <cell r="AH113">
            <v>4</v>
          </cell>
          <cell r="AJ113">
            <v>1</v>
          </cell>
          <cell r="AM113">
            <v>0.18</v>
          </cell>
          <cell r="AT113">
            <v>0</v>
          </cell>
          <cell r="AV113">
            <v>0</v>
          </cell>
          <cell r="AW113">
            <v>65676.259999999995</v>
          </cell>
          <cell r="AX113">
            <v>0</v>
          </cell>
          <cell r="AY113">
            <v>0</v>
          </cell>
          <cell r="BG113">
            <v>0</v>
          </cell>
          <cell r="BH113">
            <v>0</v>
          </cell>
          <cell r="BI113">
            <v>0</v>
          </cell>
          <cell r="BR113">
            <v>0</v>
          </cell>
          <cell r="BS113">
            <v>0</v>
          </cell>
          <cell r="BT113">
            <v>111844</v>
          </cell>
          <cell r="BU113">
            <v>0</v>
          </cell>
          <cell r="BW113">
            <v>0</v>
          </cell>
          <cell r="BX113">
            <v>2195</v>
          </cell>
          <cell r="BY113">
            <v>2105</v>
          </cell>
          <cell r="BZ113">
            <v>1830</v>
          </cell>
          <cell r="CA113">
            <v>1830</v>
          </cell>
          <cell r="CB113">
            <v>2105</v>
          </cell>
          <cell r="CC113">
            <v>7320</v>
          </cell>
          <cell r="CF113">
            <v>0</v>
          </cell>
          <cell r="CG113">
            <v>0</v>
          </cell>
          <cell r="CJ113">
            <v>0</v>
          </cell>
          <cell r="CK113">
            <v>0</v>
          </cell>
          <cell r="CL113">
            <v>36600</v>
          </cell>
          <cell r="CM113">
            <v>73449</v>
          </cell>
          <cell r="CN113">
            <v>5061</v>
          </cell>
          <cell r="CO113">
            <v>0</v>
          </cell>
          <cell r="CP113">
            <v>0</v>
          </cell>
          <cell r="CQ113">
            <v>0</v>
          </cell>
          <cell r="CR113">
            <v>0</v>
          </cell>
          <cell r="CS113">
            <v>0</v>
          </cell>
          <cell r="CT113">
            <v>0</v>
          </cell>
          <cell r="CU113">
            <v>13859</v>
          </cell>
          <cell r="CV113">
            <v>0</v>
          </cell>
          <cell r="CX113">
            <v>3375</v>
          </cell>
          <cell r="CY113">
            <v>0</v>
          </cell>
          <cell r="CZ113">
            <v>0</v>
          </cell>
          <cell r="DA113">
            <v>0</v>
          </cell>
          <cell r="DB113">
            <v>0</v>
          </cell>
          <cell r="DC113">
            <v>4889056.26</v>
          </cell>
          <cell r="DD113">
            <v>111613.59</v>
          </cell>
          <cell r="DE113">
            <v>290266</v>
          </cell>
          <cell r="DF113">
            <v>47.08</v>
          </cell>
          <cell r="DH113">
            <v>47.226798917411109</v>
          </cell>
          <cell r="DI113">
            <v>-0.14679891741111106</v>
          </cell>
          <cell r="DJ113">
            <v>47.08</v>
          </cell>
          <cell r="DK113">
            <v>47.226798917411109</v>
          </cell>
          <cell r="DL113">
            <v>-0.14679891741111106</v>
          </cell>
          <cell r="DM113">
            <v>0</v>
          </cell>
          <cell r="DN113">
            <v>0</v>
          </cell>
          <cell r="DO113">
            <v>299</v>
          </cell>
          <cell r="DP113">
            <v>18.6875</v>
          </cell>
        </row>
        <row r="114">
          <cell r="A114">
            <v>332</v>
          </cell>
          <cell r="B114" t="str">
            <v>Walker-Jones</v>
          </cell>
          <cell r="C114" t="str">
            <v>EC</v>
          </cell>
          <cell r="D114">
            <v>6</v>
          </cell>
          <cell r="E114">
            <v>400</v>
          </cell>
          <cell r="F114">
            <v>0.73299999999999998</v>
          </cell>
          <cell r="G114">
            <v>293</v>
          </cell>
          <cell r="H114">
            <v>1</v>
          </cell>
          <cell r="I114">
            <v>1</v>
          </cell>
          <cell r="J114">
            <v>0.4</v>
          </cell>
          <cell r="K114">
            <v>1</v>
          </cell>
          <cell r="M114">
            <v>1</v>
          </cell>
          <cell r="N114">
            <v>1</v>
          </cell>
          <cell r="O114">
            <v>1</v>
          </cell>
          <cell r="S114">
            <v>1</v>
          </cell>
          <cell r="T114">
            <v>1</v>
          </cell>
          <cell r="U114">
            <v>3</v>
          </cell>
          <cell r="V114">
            <v>1</v>
          </cell>
          <cell r="W114">
            <v>3</v>
          </cell>
          <cell r="Y114">
            <v>2</v>
          </cell>
          <cell r="AA114">
            <v>2</v>
          </cell>
          <cell r="AB114">
            <v>4</v>
          </cell>
          <cell r="AC114">
            <v>2</v>
          </cell>
          <cell r="AD114">
            <v>15.9</v>
          </cell>
          <cell r="AF114">
            <v>1</v>
          </cell>
          <cell r="AG114">
            <v>2</v>
          </cell>
          <cell r="AH114">
            <v>10</v>
          </cell>
          <cell r="AI114">
            <v>8</v>
          </cell>
          <cell r="AK114">
            <v>1</v>
          </cell>
          <cell r="AL114">
            <v>1</v>
          </cell>
          <cell r="AQ114">
            <v>6</v>
          </cell>
          <cell r="AR114">
            <v>6</v>
          </cell>
          <cell r="AS114">
            <v>1</v>
          </cell>
          <cell r="AT114">
            <v>0</v>
          </cell>
          <cell r="AV114">
            <v>51000</v>
          </cell>
          <cell r="AW114">
            <v>181371.87</v>
          </cell>
          <cell r="AX114">
            <v>0</v>
          </cell>
          <cell r="AY114">
            <v>0</v>
          </cell>
          <cell r="BG114">
            <v>0</v>
          </cell>
          <cell r="BH114">
            <v>0</v>
          </cell>
          <cell r="BI114">
            <v>0</v>
          </cell>
          <cell r="BP114">
            <v>2</v>
          </cell>
          <cell r="BR114">
            <v>23000</v>
          </cell>
          <cell r="BS114">
            <v>0</v>
          </cell>
          <cell r="BT114">
            <v>244046</v>
          </cell>
          <cell r="BU114">
            <v>100000</v>
          </cell>
          <cell r="BW114">
            <v>0</v>
          </cell>
          <cell r="BX114">
            <v>5879</v>
          </cell>
          <cell r="BY114">
            <v>2742</v>
          </cell>
          <cell r="BZ114">
            <v>2640</v>
          </cell>
          <cell r="CA114">
            <v>2640</v>
          </cell>
          <cell r="CB114">
            <v>3036</v>
          </cell>
          <cell r="CC114">
            <v>8000</v>
          </cell>
          <cell r="CF114">
            <v>0</v>
          </cell>
          <cell r="CG114">
            <v>0</v>
          </cell>
          <cell r="CJ114">
            <v>0</v>
          </cell>
          <cell r="CK114">
            <v>0</v>
          </cell>
          <cell r="CL114">
            <v>40000</v>
          </cell>
          <cell r="CM114">
            <v>100078</v>
          </cell>
          <cell r="CN114">
            <v>5433</v>
          </cell>
          <cell r="CO114">
            <v>0</v>
          </cell>
          <cell r="CP114">
            <v>0</v>
          </cell>
          <cell r="CQ114">
            <v>0</v>
          </cell>
          <cell r="CR114">
            <v>0</v>
          </cell>
          <cell r="CS114">
            <v>0</v>
          </cell>
          <cell r="CT114">
            <v>0</v>
          </cell>
          <cell r="CU114">
            <v>0</v>
          </cell>
          <cell r="CV114">
            <v>0</v>
          </cell>
          <cell r="CX114">
            <v>26125</v>
          </cell>
          <cell r="CY114">
            <v>0</v>
          </cell>
          <cell r="CZ114">
            <v>0</v>
          </cell>
          <cell r="DA114">
            <v>0</v>
          </cell>
          <cell r="DB114">
            <v>0</v>
          </cell>
          <cell r="DC114">
            <v>6952795.8700000001</v>
          </cell>
          <cell r="DD114">
            <v>212734.14</v>
          </cell>
          <cell r="DE114">
            <v>225138</v>
          </cell>
          <cell r="DF114">
            <v>79.3</v>
          </cell>
          <cell r="DH114">
            <v>73.599999999999994</v>
          </cell>
          <cell r="DI114">
            <v>5.7000000000000028</v>
          </cell>
          <cell r="DJ114">
            <v>66.3</v>
          </cell>
          <cell r="DK114">
            <v>67.599999999999994</v>
          </cell>
          <cell r="DL114">
            <v>-1.2999999999999972</v>
          </cell>
          <cell r="DM114">
            <v>0</v>
          </cell>
          <cell r="DN114">
            <v>13</v>
          </cell>
          <cell r="DO114">
            <v>338</v>
          </cell>
          <cell r="DP114">
            <v>18.882681564245811</v>
          </cell>
        </row>
        <row r="115">
          <cell r="A115">
            <v>333</v>
          </cell>
          <cell r="B115" t="str">
            <v>Watkins</v>
          </cell>
          <cell r="C115" t="str">
            <v>ES</v>
          </cell>
          <cell r="D115">
            <v>6</v>
          </cell>
          <cell r="E115">
            <v>434</v>
          </cell>
          <cell r="F115">
            <v>0.28599999999999998</v>
          </cell>
          <cell r="G115">
            <v>124</v>
          </cell>
          <cell r="H115">
            <v>0.5</v>
          </cell>
          <cell r="I115">
            <v>1</v>
          </cell>
          <cell r="J115">
            <v>1.1000000000000001</v>
          </cell>
          <cell r="M115">
            <v>1</v>
          </cell>
          <cell r="N115">
            <v>1</v>
          </cell>
          <cell r="O115">
            <v>1.1000000000000001</v>
          </cell>
          <cell r="S115">
            <v>1</v>
          </cell>
          <cell r="T115">
            <v>1</v>
          </cell>
          <cell r="U115">
            <v>2</v>
          </cell>
          <cell r="V115">
            <v>1</v>
          </cell>
          <cell r="W115">
            <v>4.5</v>
          </cell>
          <cell r="AD115">
            <v>20</v>
          </cell>
          <cell r="AF115">
            <v>1</v>
          </cell>
          <cell r="AG115">
            <v>1</v>
          </cell>
          <cell r="AH115">
            <v>4</v>
          </cell>
          <cell r="AM115">
            <v>0.14000000000000001</v>
          </cell>
          <cell r="AT115">
            <v>0</v>
          </cell>
          <cell r="AV115">
            <v>0</v>
          </cell>
          <cell r="AW115">
            <v>0</v>
          </cell>
          <cell r="AX115">
            <v>10850</v>
          </cell>
          <cell r="AY115">
            <v>0</v>
          </cell>
          <cell r="BG115">
            <v>0</v>
          </cell>
          <cell r="BH115">
            <v>0</v>
          </cell>
          <cell r="BI115">
            <v>0</v>
          </cell>
          <cell r="BR115">
            <v>0</v>
          </cell>
          <cell r="BS115">
            <v>0</v>
          </cell>
          <cell r="BT115">
            <v>111844</v>
          </cell>
          <cell r="BU115">
            <v>0</v>
          </cell>
          <cell r="BW115">
            <v>0</v>
          </cell>
          <cell r="BX115">
            <v>2479</v>
          </cell>
          <cell r="BY115">
            <v>2496</v>
          </cell>
          <cell r="BZ115">
            <v>2170</v>
          </cell>
          <cell r="CA115">
            <v>2170</v>
          </cell>
          <cell r="CB115">
            <v>2496</v>
          </cell>
          <cell r="CC115">
            <v>8680</v>
          </cell>
          <cell r="CF115">
            <v>0</v>
          </cell>
          <cell r="CG115">
            <v>0</v>
          </cell>
          <cell r="CJ115">
            <v>0</v>
          </cell>
          <cell r="CK115">
            <v>0</v>
          </cell>
          <cell r="CL115">
            <v>43400</v>
          </cell>
          <cell r="CM115">
            <v>72375</v>
          </cell>
          <cell r="CN115">
            <v>5725</v>
          </cell>
          <cell r="CO115">
            <v>0</v>
          </cell>
          <cell r="CP115">
            <v>0</v>
          </cell>
          <cell r="CQ115">
            <v>0</v>
          </cell>
          <cell r="CR115">
            <v>0</v>
          </cell>
          <cell r="CS115">
            <v>0</v>
          </cell>
          <cell r="CT115">
            <v>0</v>
          </cell>
          <cell r="CU115">
            <v>0</v>
          </cell>
          <cell r="CV115">
            <v>0</v>
          </cell>
          <cell r="CX115">
            <v>20350</v>
          </cell>
          <cell r="CY115">
            <v>0</v>
          </cell>
          <cell r="CZ115">
            <v>0</v>
          </cell>
          <cell r="DA115">
            <v>0</v>
          </cell>
          <cell r="DB115">
            <v>112569</v>
          </cell>
          <cell r="DC115">
            <v>4795702.5</v>
          </cell>
          <cell r="DD115">
            <v>135082.14000000001</v>
          </cell>
          <cell r="DE115">
            <v>56285</v>
          </cell>
          <cell r="DF115">
            <v>41.34</v>
          </cell>
          <cell r="DH115">
            <v>41.336363636363636</v>
          </cell>
          <cell r="DI115">
            <v>3.6363636363674345E-3</v>
          </cell>
          <cell r="DJ115">
            <v>41.34</v>
          </cell>
          <cell r="DK115">
            <v>41.336363636363636</v>
          </cell>
          <cell r="DL115">
            <v>3.6363636363674345E-3</v>
          </cell>
          <cell r="DM115">
            <v>0</v>
          </cell>
          <cell r="DN115">
            <v>0</v>
          </cell>
          <cell r="DO115">
            <v>434</v>
          </cell>
          <cell r="DP115">
            <v>21.7</v>
          </cell>
        </row>
        <row r="116">
          <cell r="A116">
            <v>336</v>
          </cell>
          <cell r="B116" t="str">
            <v>West</v>
          </cell>
          <cell r="C116" t="str">
            <v>ES</v>
          </cell>
          <cell r="D116">
            <v>4</v>
          </cell>
          <cell r="E116">
            <v>366</v>
          </cell>
          <cell r="F116">
            <v>0.42899999999999999</v>
          </cell>
          <cell r="G116">
            <v>157</v>
          </cell>
          <cell r="H116">
            <v>1</v>
          </cell>
          <cell r="I116">
            <v>1</v>
          </cell>
          <cell r="J116">
            <v>0.9</v>
          </cell>
          <cell r="M116">
            <v>1</v>
          </cell>
          <cell r="N116">
            <v>1</v>
          </cell>
          <cell r="S116">
            <v>1</v>
          </cell>
          <cell r="T116">
            <v>1</v>
          </cell>
          <cell r="U116">
            <v>2</v>
          </cell>
          <cell r="V116">
            <v>1</v>
          </cell>
          <cell r="W116">
            <v>3</v>
          </cell>
          <cell r="Y116">
            <v>3</v>
          </cell>
          <cell r="AA116">
            <v>3</v>
          </cell>
          <cell r="AB116">
            <v>6</v>
          </cell>
          <cell r="AC116">
            <v>3</v>
          </cell>
          <cell r="AD116">
            <v>14.5</v>
          </cell>
          <cell r="AF116">
            <v>1</v>
          </cell>
          <cell r="AG116">
            <v>1</v>
          </cell>
          <cell r="AH116">
            <v>7</v>
          </cell>
          <cell r="AI116">
            <v>5</v>
          </cell>
          <cell r="AL116">
            <v>2</v>
          </cell>
          <cell r="AQ116">
            <v>6</v>
          </cell>
          <cell r="AR116">
            <v>6</v>
          </cell>
          <cell r="AS116">
            <v>1</v>
          </cell>
          <cell r="AT116">
            <v>0</v>
          </cell>
          <cell r="AV116">
            <v>51000</v>
          </cell>
          <cell r="AW116">
            <v>165958.29999999999</v>
          </cell>
          <cell r="AX116">
            <v>0</v>
          </cell>
          <cell r="AY116">
            <v>0</v>
          </cell>
          <cell r="BG116">
            <v>0</v>
          </cell>
          <cell r="BH116">
            <v>0</v>
          </cell>
          <cell r="BI116">
            <v>0</v>
          </cell>
          <cell r="BR116">
            <v>0</v>
          </cell>
          <cell r="BS116">
            <v>0</v>
          </cell>
          <cell r="BT116">
            <v>111844</v>
          </cell>
          <cell r="BU116">
            <v>0</v>
          </cell>
          <cell r="BW116">
            <v>0</v>
          </cell>
          <cell r="BX116">
            <v>3139</v>
          </cell>
          <cell r="BY116">
            <v>2105</v>
          </cell>
          <cell r="BZ116">
            <v>1830</v>
          </cell>
          <cell r="CA116">
            <v>1830</v>
          </cell>
          <cell r="CB116">
            <v>2105</v>
          </cell>
          <cell r="CC116">
            <v>7320</v>
          </cell>
          <cell r="CF116">
            <v>0</v>
          </cell>
          <cell r="CG116">
            <v>0</v>
          </cell>
          <cell r="CJ116">
            <v>0</v>
          </cell>
          <cell r="CK116">
            <v>0</v>
          </cell>
          <cell r="CL116">
            <v>36600</v>
          </cell>
          <cell r="CM116">
            <v>86426</v>
          </cell>
          <cell r="CN116">
            <v>5274</v>
          </cell>
          <cell r="CO116">
            <v>0</v>
          </cell>
          <cell r="CP116">
            <v>0</v>
          </cell>
          <cell r="CQ116">
            <v>0</v>
          </cell>
          <cell r="CR116">
            <v>0</v>
          </cell>
          <cell r="CS116">
            <v>0</v>
          </cell>
          <cell r="CT116">
            <v>0</v>
          </cell>
          <cell r="CU116">
            <v>0</v>
          </cell>
          <cell r="CV116">
            <v>0</v>
          </cell>
          <cell r="CX116">
            <v>14025</v>
          </cell>
          <cell r="CY116">
            <v>0</v>
          </cell>
          <cell r="CZ116">
            <v>0</v>
          </cell>
          <cell r="DA116">
            <v>0</v>
          </cell>
          <cell r="DB116">
            <v>0</v>
          </cell>
          <cell r="DC116">
            <v>5898332.2999999998</v>
          </cell>
          <cell r="DD116">
            <v>151273.14000000001</v>
          </cell>
          <cell r="DE116">
            <v>199407</v>
          </cell>
          <cell r="DF116">
            <v>71.400000000000006</v>
          </cell>
          <cell r="DH116">
            <v>58.9</v>
          </cell>
          <cell r="DI116">
            <v>12.500000000000007</v>
          </cell>
          <cell r="DJ116">
            <v>58.4</v>
          </cell>
          <cell r="DK116">
            <v>52.9</v>
          </cell>
          <cell r="DL116">
            <v>5.5</v>
          </cell>
          <cell r="DM116">
            <v>0</v>
          </cell>
          <cell r="DN116">
            <v>13</v>
          </cell>
          <cell r="DO116">
            <v>262</v>
          </cell>
          <cell r="DP116">
            <v>18.068965517241381</v>
          </cell>
        </row>
        <row r="117">
          <cell r="A117">
            <v>335</v>
          </cell>
          <cell r="B117" t="str">
            <v>Wheatley</v>
          </cell>
          <cell r="C117" t="str">
            <v>EC</v>
          </cell>
          <cell r="D117">
            <v>5</v>
          </cell>
          <cell r="E117">
            <v>321</v>
          </cell>
          <cell r="F117">
            <v>0.68799999999999994</v>
          </cell>
          <cell r="G117">
            <v>221</v>
          </cell>
          <cell r="H117">
            <v>1</v>
          </cell>
          <cell r="I117">
            <v>1</v>
          </cell>
          <cell r="J117">
            <v>0.3</v>
          </cell>
          <cell r="K117">
            <v>1</v>
          </cell>
          <cell r="M117">
            <v>1</v>
          </cell>
          <cell r="N117">
            <v>1</v>
          </cell>
          <cell r="S117">
            <v>1</v>
          </cell>
          <cell r="T117">
            <v>1</v>
          </cell>
          <cell r="U117">
            <v>2</v>
          </cell>
          <cell r="V117">
            <v>1</v>
          </cell>
          <cell r="W117">
            <v>3</v>
          </cell>
          <cell r="X117">
            <v>1</v>
          </cell>
          <cell r="Y117">
            <v>2</v>
          </cell>
          <cell r="Z117">
            <v>1</v>
          </cell>
          <cell r="AA117">
            <v>2</v>
          </cell>
          <cell r="AB117">
            <v>5</v>
          </cell>
          <cell r="AC117">
            <v>2</v>
          </cell>
          <cell r="AD117">
            <v>13.7</v>
          </cell>
          <cell r="AF117">
            <v>1</v>
          </cell>
          <cell r="AG117">
            <v>1</v>
          </cell>
          <cell r="AH117">
            <v>10</v>
          </cell>
          <cell r="AI117">
            <v>3</v>
          </cell>
          <cell r="AL117">
            <v>1</v>
          </cell>
          <cell r="AQ117">
            <v>4</v>
          </cell>
          <cell r="AR117">
            <v>4</v>
          </cell>
          <cell r="AS117">
            <v>1</v>
          </cell>
          <cell r="AT117">
            <v>0</v>
          </cell>
          <cell r="AV117">
            <v>37400</v>
          </cell>
          <cell r="AW117">
            <v>145550.91</v>
          </cell>
          <cell r="AX117">
            <v>0</v>
          </cell>
          <cell r="AY117">
            <v>0</v>
          </cell>
          <cell r="BG117">
            <v>0</v>
          </cell>
          <cell r="BH117">
            <v>0</v>
          </cell>
          <cell r="BI117">
            <v>0</v>
          </cell>
          <cell r="BP117">
            <v>2</v>
          </cell>
          <cell r="BR117">
            <v>23000</v>
          </cell>
          <cell r="BS117">
            <v>0</v>
          </cell>
          <cell r="BT117">
            <v>244046</v>
          </cell>
          <cell r="BU117">
            <v>100000</v>
          </cell>
          <cell r="BW117">
            <v>0</v>
          </cell>
          <cell r="BX117">
            <v>4420</v>
          </cell>
          <cell r="BY117">
            <v>2122</v>
          </cell>
          <cell r="BZ117">
            <v>2005</v>
          </cell>
          <cell r="CA117">
            <v>2005</v>
          </cell>
          <cell r="CB117">
            <v>2306</v>
          </cell>
          <cell r="CC117">
            <v>6420</v>
          </cell>
          <cell r="CF117">
            <v>0</v>
          </cell>
          <cell r="CG117">
            <v>0</v>
          </cell>
          <cell r="CJ117">
            <v>0</v>
          </cell>
          <cell r="CK117">
            <v>0</v>
          </cell>
          <cell r="CL117">
            <v>32100</v>
          </cell>
          <cell r="CM117">
            <v>92325</v>
          </cell>
          <cell r="CN117">
            <v>5255</v>
          </cell>
          <cell r="CO117">
            <v>0</v>
          </cell>
          <cell r="CP117">
            <v>0</v>
          </cell>
          <cell r="CQ117">
            <v>0</v>
          </cell>
          <cell r="CR117">
            <v>0</v>
          </cell>
          <cell r="CS117">
            <v>0</v>
          </cell>
          <cell r="CT117">
            <v>0</v>
          </cell>
          <cell r="CU117">
            <v>0</v>
          </cell>
          <cell r="CV117">
            <v>0</v>
          </cell>
          <cell r="CX117">
            <v>24050</v>
          </cell>
          <cell r="CY117">
            <v>0</v>
          </cell>
          <cell r="CZ117">
            <v>87377</v>
          </cell>
          <cell r="DA117">
            <v>0</v>
          </cell>
          <cell r="DB117">
            <v>225138</v>
          </cell>
          <cell r="DC117">
            <v>6659715.9100000001</v>
          </cell>
          <cell r="DD117">
            <v>184030.85</v>
          </cell>
          <cell r="DE117">
            <v>225138</v>
          </cell>
          <cell r="DF117">
            <v>67</v>
          </cell>
          <cell r="DH117">
            <v>62.699999999999996</v>
          </cell>
          <cell r="DI117">
            <v>4.3000000000000043</v>
          </cell>
          <cell r="DJ117">
            <v>58</v>
          </cell>
          <cell r="DK117">
            <v>58.699999999999996</v>
          </cell>
          <cell r="DL117">
            <v>-0.69999999999999574</v>
          </cell>
          <cell r="DM117">
            <v>0</v>
          </cell>
          <cell r="DN117">
            <v>9</v>
          </cell>
          <cell r="DO117">
            <v>256</v>
          </cell>
          <cell r="DP117">
            <v>16.305732484076433</v>
          </cell>
        </row>
        <row r="118">
          <cell r="A118">
            <v>338</v>
          </cell>
          <cell r="B118" t="str">
            <v>Whittier</v>
          </cell>
          <cell r="C118" t="str">
            <v>ES</v>
          </cell>
          <cell r="D118">
            <v>4</v>
          </cell>
          <cell r="E118">
            <v>307</v>
          </cell>
          <cell r="F118">
            <v>0.56000000000000005</v>
          </cell>
          <cell r="G118">
            <v>172</v>
          </cell>
          <cell r="H118">
            <v>1</v>
          </cell>
          <cell r="I118">
            <v>1</v>
          </cell>
          <cell r="J118">
            <v>0.8</v>
          </cell>
          <cell r="M118">
            <v>1</v>
          </cell>
          <cell r="N118">
            <v>1</v>
          </cell>
          <cell r="S118">
            <v>1</v>
          </cell>
          <cell r="T118">
            <v>1</v>
          </cell>
          <cell r="U118">
            <v>2</v>
          </cell>
          <cell r="V118">
            <v>1</v>
          </cell>
          <cell r="W118">
            <v>3</v>
          </cell>
          <cell r="Y118">
            <v>1</v>
          </cell>
          <cell r="Z118">
            <v>2</v>
          </cell>
          <cell r="AA118">
            <v>1</v>
          </cell>
          <cell r="AB118">
            <v>4</v>
          </cell>
          <cell r="AC118">
            <v>2</v>
          </cell>
          <cell r="AD118">
            <v>12</v>
          </cell>
          <cell r="AF118">
            <v>1</v>
          </cell>
          <cell r="AG118">
            <v>2</v>
          </cell>
          <cell r="AH118">
            <v>11</v>
          </cell>
          <cell r="AI118">
            <v>10</v>
          </cell>
          <cell r="AL118">
            <v>4</v>
          </cell>
          <cell r="AQ118">
            <v>6</v>
          </cell>
          <cell r="AR118">
            <v>6</v>
          </cell>
          <cell r="AS118">
            <v>1</v>
          </cell>
          <cell r="AT118">
            <v>0</v>
          </cell>
          <cell r="AV118">
            <v>51000</v>
          </cell>
          <cell r="AW118">
            <v>97810.36</v>
          </cell>
          <cell r="AX118">
            <v>0</v>
          </cell>
          <cell r="AY118">
            <v>0</v>
          </cell>
          <cell r="BG118">
            <v>0</v>
          </cell>
          <cell r="BH118">
            <v>0</v>
          </cell>
          <cell r="BI118">
            <v>0</v>
          </cell>
          <cell r="BR118">
            <v>0</v>
          </cell>
          <cell r="BS118">
            <v>0</v>
          </cell>
          <cell r="BT118">
            <v>55922</v>
          </cell>
          <cell r="BU118">
            <v>0</v>
          </cell>
          <cell r="BW118">
            <v>0</v>
          </cell>
          <cell r="BX118">
            <v>3442</v>
          </cell>
          <cell r="BY118">
            <v>1765</v>
          </cell>
          <cell r="BZ118">
            <v>1535</v>
          </cell>
          <cell r="CA118">
            <v>1535</v>
          </cell>
          <cell r="CB118">
            <v>1765</v>
          </cell>
          <cell r="CC118">
            <v>6140</v>
          </cell>
          <cell r="CF118">
            <v>0</v>
          </cell>
          <cell r="CG118">
            <v>0</v>
          </cell>
          <cell r="CJ118">
            <v>0</v>
          </cell>
          <cell r="CK118">
            <v>0</v>
          </cell>
          <cell r="CL118">
            <v>30700</v>
          </cell>
          <cell r="CM118">
            <v>91309</v>
          </cell>
          <cell r="CN118">
            <v>4422</v>
          </cell>
          <cell r="CO118">
            <v>0</v>
          </cell>
          <cell r="CP118">
            <v>0</v>
          </cell>
          <cell r="CQ118">
            <v>0</v>
          </cell>
          <cell r="CR118">
            <v>0</v>
          </cell>
          <cell r="CS118">
            <v>0</v>
          </cell>
          <cell r="CT118">
            <v>0</v>
          </cell>
          <cell r="CU118">
            <v>0</v>
          </cell>
          <cell r="CV118">
            <v>0</v>
          </cell>
          <cell r="CX118">
            <v>6650</v>
          </cell>
          <cell r="CY118">
            <v>0</v>
          </cell>
          <cell r="CZ118">
            <v>827811</v>
          </cell>
          <cell r="DA118">
            <v>0</v>
          </cell>
          <cell r="DB118">
            <v>0</v>
          </cell>
          <cell r="DC118">
            <v>6931427.3600000003</v>
          </cell>
          <cell r="DD118">
            <v>143150.71</v>
          </cell>
          <cell r="DE118">
            <v>331661</v>
          </cell>
          <cell r="DF118">
            <v>75.8</v>
          </cell>
          <cell r="DH118">
            <v>77</v>
          </cell>
          <cell r="DI118">
            <v>-1.2000000000000028</v>
          </cell>
          <cell r="DJ118">
            <v>62.8</v>
          </cell>
          <cell r="DK118">
            <v>71</v>
          </cell>
          <cell r="DL118">
            <v>-8.2000000000000028</v>
          </cell>
          <cell r="DM118">
            <v>0</v>
          </cell>
          <cell r="DN118">
            <v>13</v>
          </cell>
          <cell r="DO118">
            <v>241</v>
          </cell>
          <cell r="DP118">
            <v>20.083333333333332</v>
          </cell>
        </row>
        <row r="119">
          <cell r="A119">
            <v>463</v>
          </cell>
          <cell r="B119" t="str">
            <v>Woodrow Wilson</v>
          </cell>
          <cell r="C119" t="str">
            <v>HS</v>
          </cell>
          <cell r="D119">
            <v>3</v>
          </cell>
          <cell r="E119">
            <v>2010</v>
          </cell>
          <cell r="F119">
            <v>0.23200000000000001</v>
          </cell>
          <cell r="G119">
            <v>466</v>
          </cell>
          <cell r="H119">
            <v>1</v>
          </cell>
          <cell r="I119">
            <v>1</v>
          </cell>
          <cell r="J119">
            <v>6.7</v>
          </cell>
          <cell r="L119">
            <v>8.5</v>
          </cell>
          <cell r="M119">
            <v>1</v>
          </cell>
          <cell r="N119">
            <v>1</v>
          </cell>
          <cell r="O119">
            <v>5</v>
          </cell>
          <cell r="P119">
            <v>1</v>
          </cell>
          <cell r="Q119">
            <v>1</v>
          </cell>
          <cell r="S119">
            <v>1</v>
          </cell>
          <cell r="T119">
            <v>1</v>
          </cell>
          <cell r="U119">
            <v>12</v>
          </cell>
          <cell r="V119">
            <v>1</v>
          </cell>
          <cell r="AD119">
            <v>83.75</v>
          </cell>
          <cell r="AE119">
            <v>14.25</v>
          </cell>
          <cell r="AF119">
            <v>2</v>
          </cell>
          <cell r="AG119">
            <v>4</v>
          </cell>
          <cell r="AH119">
            <v>25</v>
          </cell>
          <cell r="AI119">
            <v>8</v>
          </cell>
          <cell r="AK119">
            <v>1</v>
          </cell>
          <cell r="AL119">
            <v>7</v>
          </cell>
          <cell r="AP119">
            <v>1</v>
          </cell>
          <cell r="AT119">
            <v>85000</v>
          </cell>
          <cell r="AV119">
            <v>0</v>
          </cell>
          <cell r="AW119">
            <v>0</v>
          </cell>
          <cell r="AX119">
            <v>50250</v>
          </cell>
          <cell r="AY119">
            <v>24884</v>
          </cell>
          <cell r="BG119">
            <v>0</v>
          </cell>
          <cell r="BH119">
            <v>0</v>
          </cell>
          <cell r="BI119">
            <v>0</v>
          </cell>
          <cell r="BJ119">
            <v>2</v>
          </cell>
          <cell r="BL119">
            <v>1</v>
          </cell>
          <cell r="BM119">
            <v>1</v>
          </cell>
          <cell r="BR119">
            <v>0</v>
          </cell>
          <cell r="BS119">
            <v>0</v>
          </cell>
          <cell r="BT119">
            <v>620294</v>
          </cell>
          <cell r="BU119">
            <v>0</v>
          </cell>
          <cell r="BV119">
            <v>1</v>
          </cell>
          <cell r="BW119">
            <v>0</v>
          </cell>
          <cell r="BX119">
            <v>0</v>
          </cell>
          <cell r="BY119">
            <v>57788</v>
          </cell>
          <cell r="BZ119">
            <v>30150</v>
          </cell>
          <cell r="CA119">
            <v>30150</v>
          </cell>
          <cell r="CB119">
            <v>69345</v>
          </cell>
          <cell r="CC119">
            <v>40200</v>
          </cell>
          <cell r="CD119">
            <v>1</v>
          </cell>
          <cell r="CF119">
            <v>0</v>
          </cell>
          <cell r="CG119">
            <v>0</v>
          </cell>
          <cell r="CJ119">
            <v>0</v>
          </cell>
          <cell r="CK119">
            <v>0</v>
          </cell>
          <cell r="CL119">
            <v>201000</v>
          </cell>
          <cell r="CM119">
            <v>320515</v>
          </cell>
          <cell r="CN119">
            <v>31242</v>
          </cell>
          <cell r="CO119">
            <v>0</v>
          </cell>
          <cell r="CP119">
            <v>0</v>
          </cell>
          <cell r="CQ119">
            <v>0</v>
          </cell>
          <cell r="CR119">
            <v>0</v>
          </cell>
          <cell r="CS119">
            <v>0</v>
          </cell>
          <cell r="CT119">
            <v>0</v>
          </cell>
          <cell r="CU119">
            <v>0</v>
          </cell>
          <cell r="CV119">
            <v>0</v>
          </cell>
          <cell r="CX119">
            <v>38025</v>
          </cell>
          <cell r="CY119">
            <v>0</v>
          </cell>
          <cell r="CZ119">
            <v>0</v>
          </cell>
          <cell r="DA119">
            <v>0</v>
          </cell>
          <cell r="DB119">
            <v>112569</v>
          </cell>
          <cell r="DC119">
            <v>22120337</v>
          </cell>
          <cell r="DD119">
            <v>210982.97</v>
          </cell>
          <cell r="DE119">
            <v>213621</v>
          </cell>
          <cell r="DF119">
            <v>193.2</v>
          </cell>
          <cell r="DH119">
            <v>193.70000044870622</v>
          </cell>
          <cell r="DI119">
            <v>-0.50000044870623128</v>
          </cell>
          <cell r="DJ119">
            <v>193.2</v>
          </cell>
          <cell r="DK119">
            <v>193.70000044870622</v>
          </cell>
          <cell r="DL119">
            <v>-0.50000044870623128</v>
          </cell>
          <cell r="DM119">
            <v>0</v>
          </cell>
          <cell r="DN119">
            <v>0</v>
          </cell>
          <cell r="DO119">
            <v>2010</v>
          </cell>
          <cell r="DP119">
            <v>20.510204081632654</v>
          </cell>
        </row>
        <row r="120">
          <cell r="A120">
            <v>464</v>
          </cell>
          <cell r="B120" t="str">
            <v>Woodson, H.D.</v>
          </cell>
          <cell r="C120" t="str">
            <v>HS</v>
          </cell>
          <cell r="D120">
            <v>7</v>
          </cell>
          <cell r="E120">
            <v>487</v>
          </cell>
          <cell r="F120">
            <v>0.70399999999999996</v>
          </cell>
          <cell r="G120">
            <v>343</v>
          </cell>
          <cell r="H120">
            <v>1</v>
          </cell>
          <cell r="I120">
            <v>1</v>
          </cell>
          <cell r="J120">
            <v>1.6</v>
          </cell>
          <cell r="L120">
            <v>2</v>
          </cell>
          <cell r="M120">
            <v>1</v>
          </cell>
          <cell r="N120">
            <v>1</v>
          </cell>
          <cell r="O120">
            <v>1.2</v>
          </cell>
          <cell r="P120">
            <v>1</v>
          </cell>
          <cell r="Q120">
            <v>1</v>
          </cell>
          <cell r="S120">
            <v>1</v>
          </cell>
          <cell r="T120">
            <v>1</v>
          </cell>
          <cell r="U120">
            <v>4</v>
          </cell>
          <cell r="V120">
            <v>1</v>
          </cell>
          <cell r="AD120">
            <v>20.291666666666668</v>
          </cell>
          <cell r="AE120">
            <v>8.5383333333333304</v>
          </cell>
          <cell r="AF120">
            <v>1</v>
          </cell>
          <cell r="AG120">
            <v>3</v>
          </cell>
          <cell r="AH120">
            <v>14</v>
          </cell>
          <cell r="AI120">
            <v>6</v>
          </cell>
          <cell r="AJ120">
            <v>1</v>
          </cell>
          <cell r="AM120">
            <v>0.18</v>
          </cell>
          <cell r="AT120">
            <v>60000</v>
          </cell>
          <cell r="AV120">
            <v>0</v>
          </cell>
          <cell r="AW120">
            <v>438999.85</v>
          </cell>
          <cell r="AX120">
            <v>0</v>
          </cell>
          <cell r="AY120">
            <v>74648.709999999992</v>
          </cell>
          <cell r="BF120">
            <v>1</v>
          </cell>
          <cell r="BG120">
            <v>26216</v>
          </cell>
          <cell r="BH120">
            <v>9000</v>
          </cell>
          <cell r="BI120">
            <v>30000</v>
          </cell>
          <cell r="BJ120">
            <v>2</v>
          </cell>
          <cell r="BL120">
            <v>3</v>
          </cell>
          <cell r="BM120">
            <v>2</v>
          </cell>
          <cell r="BO120">
            <v>1</v>
          </cell>
          <cell r="BR120">
            <v>0</v>
          </cell>
          <cell r="BS120">
            <v>0</v>
          </cell>
          <cell r="BT120">
            <v>488092</v>
          </cell>
          <cell r="BU120">
            <v>0</v>
          </cell>
          <cell r="BV120">
            <v>1</v>
          </cell>
          <cell r="BW120">
            <v>75000</v>
          </cell>
          <cell r="BX120">
            <v>6852</v>
          </cell>
          <cell r="BY120">
            <v>14001</v>
          </cell>
          <cell r="BZ120">
            <v>7305</v>
          </cell>
          <cell r="CA120">
            <v>7305</v>
          </cell>
          <cell r="CB120">
            <v>16802</v>
          </cell>
          <cell r="CC120">
            <v>9740</v>
          </cell>
          <cell r="CD120">
            <v>1</v>
          </cell>
          <cell r="CF120">
            <v>0</v>
          </cell>
          <cell r="CG120">
            <v>0</v>
          </cell>
          <cell r="CJ120">
            <v>5000</v>
          </cell>
          <cell r="CK120">
            <v>113946</v>
          </cell>
          <cell r="CL120">
            <v>48700</v>
          </cell>
          <cell r="CM120">
            <v>121245</v>
          </cell>
          <cell r="CN120">
            <v>7624</v>
          </cell>
          <cell r="CO120">
            <v>0</v>
          </cell>
          <cell r="CP120">
            <v>0</v>
          </cell>
          <cell r="CQ120">
            <v>0</v>
          </cell>
          <cell r="CR120">
            <v>0</v>
          </cell>
          <cell r="CS120">
            <v>0</v>
          </cell>
          <cell r="CT120">
            <v>0</v>
          </cell>
          <cell r="CU120">
            <v>0</v>
          </cell>
          <cell r="CV120">
            <v>0</v>
          </cell>
          <cell r="CX120">
            <v>20800</v>
          </cell>
          <cell r="CY120">
            <v>0</v>
          </cell>
          <cell r="CZ120">
            <v>961895</v>
          </cell>
          <cell r="DA120">
            <v>0</v>
          </cell>
          <cell r="DB120">
            <v>281423</v>
          </cell>
          <cell r="DC120">
            <v>11403906.559999999</v>
          </cell>
          <cell r="DD120">
            <v>228622.26</v>
          </cell>
          <cell r="DE120">
            <v>56285</v>
          </cell>
          <cell r="DF120">
            <v>82.81</v>
          </cell>
          <cell r="DH120">
            <v>90.720766102978175</v>
          </cell>
          <cell r="DI120">
            <v>-7.9107661029781724</v>
          </cell>
          <cell r="DJ120">
            <v>82.81</v>
          </cell>
          <cell r="DK120">
            <v>90.720766102978175</v>
          </cell>
          <cell r="DL120">
            <v>-7.9107661029781724</v>
          </cell>
          <cell r="DM120">
            <v>0</v>
          </cell>
          <cell r="DN120">
            <v>0</v>
          </cell>
          <cell r="DO120">
            <v>487</v>
          </cell>
          <cell r="DP120">
            <v>16.892126257370794</v>
          </cell>
        </row>
        <row r="122">
          <cell r="AE122">
            <v>112569</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PED"/>
      <sheetName val="Stab'n"/>
      <sheetName val="Totals"/>
      <sheetName val="pivot"/>
      <sheetName val="FY22 Submitted Budget"/>
    </sheetNames>
    <sheetDataSet>
      <sheetData sheetId="0"/>
      <sheetData sheetId="1"/>
      <sheetData sheetId="2"/>
      <sheetData sheetId="3">
        <row r="2">
          <cell r="B2">
            <v>202</v>
          </cell>
          <cell r="C2">
            <v>4651190.9285291154</v>
          </cell>
          <cell r="D2">
            <v>3914980.9185291161</v>
          </cell>
          <cell r="E2">
            <v>518962</v>
          </cell>
          <cell r="F2">
            <v>102474.01</v>
          </cell>
          <cell r="G2">
            <v>0</v>
          </cell>
          <cell r="H2">
            <v>27200</v>
          </cell>
          <cell r="I2">
            <v>0</v>
          </cell>
          <cell r="J2">
            <v>87574</v>
          </cell>
          <cell r="K2">
            <v>174303.09</v>
          </cell>
        </row>
        <row r="3">
          <cell r="B3">
            <v>203</v>
          </cell>
          <cell r="C3">
            <v>5757383.6918591158</v>
          </cell>
          <cell r="D3">
            <v>4784747.9518591166</v>
          </cell>
          <cell r="E3">
            <v>536682</v>
          </cell>
          <cell r="F3">
            <v>151898.74000000002</v>
          </cell>
          <cell r="G3">
            <v>0</v>
          </cell>
          <cell r="H3">
            <v>54400</v>
          </cell>
          <cell r="I3">
            <v>0</v>
          </cell>
          <cell r="J3">
            <v>229655</v>
          </cell>
          <cell r="K3">
            <v>207970.41</v>
          </cell>
        </row>
        <row r="4">
          <cell r="B4">
            <v>450</v>
          </cell>
          <cell r="C4">
            <v>9210665.5726761036</v>
          </cell>
          <cell r="D4">
            <v>7941571.0726761045</v>
          </cell>
          <cell r="E4">
            <v>836401</v>
          </cell>
          <cell r="F4">
            <v>382054.5</v>
          </cell>
          <cell r="G4">
            <v>0</v>
          </cell>
          <cell r="H4">
            <v>0</v>
          </cell>
          <cell r="I4">
            <v>0</v>
          </cell>
          <cell r="J4">
            <v>50639</v>
          </cell>
          <cell r="K4">
            <v>174913.35</v>
          </cell>
        </row>
        <row r="5">
          <cell r="B5">
            <v>452</v>
          </cell>
          <cell r="C5">
            <v>13390016.456669999</v>
          </cell>
          <cell r="D5">
            <v>10857735.036670001</v>
          </cell>
          <cell r="E5">
            <v>1667189</v>
          </cell>
          <cell r="F5">
            <v>546672.42000000004</v>
          </cell>
          <cell r="G5">
            <v>0</v>
          </cell>
          <cell r="H5">
            <v>0</v>
          </cell>
          <cell r="I5">
            <v>25702</v>
          </cell>
          <cell r="J5">
            <v>292718</v>
          </cell>
          <cell r="K5">
            <v>365689.27</v>
          </cell>
        </row>
        <row r="6">
          <cell r="B6">
            <v>462</v>
          </cell>
          <cell r="C6">
            <v>6025726.670275663</v>
          </cell>
          <cell r="D6">
            <v>5901432.670275663</v>
          </cell>
          <cell r="E6">
            <v>0</v>
          </cell>
          <cell r="F6">
            <v>0</v>
          </cell>
          <cell r="G6">
            <v>11725</v>
          </cell>
          <cell r="H6">
            <v>0</v>
          </cell>
          <cell r="I6">
            <v>0</v>
          </cell>
          <cell r="J6">
            <v>112569</v>
          </cell>
          <cell r="K6">
            <v>230228.14</v>
          </cell>
        </row>
        <row r="7">
          <cell r="B7">
            <v>204</v>
          </cell>
          <cell r="C7">
            <v>10466383.203329999</v>
          </cell>
          <cell r="D7">
            <v>9524277.1133299991</v>
          </cell>
          <cell r="E7">
            <v>458205</v>
          </cell>
          <cell r="F7">
            <v>300172.09000000003</v>
          </cell>
          <cell r="G7">
            <v>0</v>
          </cell>
          <cell r="H7">
            <v>27200</v>
          </cell>
          <cell r="I7">
            <v>0</v>
          </cell>
          <cell r="J7">
            <v>156529</v>
          </cell>
          <cell r="K7">
            <v>148057.42000000001</v>
          </cell>
        </row>
        <row r="8">
          <cell r="B8">
            <v>1058</v>
          </cell>
          <cell r="C8">
            <v>5399700.2009295579</v>
          </cell>
          <cell r="D8">
            <v>4573048.8609295581</v>
          </cell>
          <cell r="E8">
            <v>595024</v>
          </cell>
          <cell r="F8">
            <v>127469.34000000001</v>
          </cell>
          <cell r="G8">
            <v>0</v>
          </cell>
          <cell r="H8">
            <v>0</v>
          </cell>
          <cell r="I8">
            <v>0</v>
          </cell>
          <cell r="J8">
            <v>104158</v>
          </cell>
          <cell r="K8">
            <v>139008.12</v>
          </cell>
        </row>
        <row r="9">
          <cell r="B9">
            <v>205</v>
          </cell>
          <cell r="C9">
            <v>10228617.60667</v>
          </cell>
          <cell r="D9">
            <v>9067337.9666699991</v>
          </cell>
          <cell r="E9">
            <v>721483.46</v>
          </cell>
          <cell r="F9">
            <v>290196.18</v>
          </cell>
          <cell r="G9">
            <v>0</v>
          </cell>
          <cell r="H9">
            <v>149600</v>
          </cell>
          <cell r="I9">
            <v>0</v>
          </cell>
          <cell r="J9">
            <v>0</v>
          </cell>
          <cell r="K9">
            <v>122274.11</v>
          </cell>
        </row>
        <row r="10">
          <cell r="B10">
            <v>206</v>
          </cell>
          <cell r="C10">
            <v>7741124.8460091045</v>
          </cell>
          <cell r="D10">
            <v>6552448.5560091045</v>
          </cell>
          <cell r="E10">
            <v>617691</v>
          </cell>
          <cell r="F10">
            <v>206764.29000000004</v>
          </cell>
          <cell r="G10">
            <v>0</v>
          </cell>
          <cell r="H10">
            <v>68000</v>
          </cell>
          <cell r="I10">
            <v>0</v>
          </cell>
          <cell r="J10">
            <v>296221</v>
          </cell>
          <cell r="K10">
            <v>232342.93</v>
          </cell>
        </row>
        <row r="11">
          <cell r="B11">
            <v>402</v>
          </cell>
          <cell r="C11">
            <v>6539031.1690704413</v>
          </cell>
          <cell r="D11">
            <v>5823458.7290704418</v>
          </cell>
          <cell r="E11">
            <v>387327.35</v>
          </cell>
          <cell r="F11">
            <v>82434.090000000011</v>
          </cell>
          <cell r="G11">
            <v>0</v>
          </cell>
          <cell r="H11">
            <v>0</v>
          </cell>
          <cell r="I11">
            <v>0</v>
          </cell>
          <cell r="J11">
            <v>245811</v>
          </cell>
          <cell r="K11">
            <v>32614.77</v>
          </cell>
        </row>
        <row r="12">
          <cell r="B12">
            <v>291</v>
          </cell>
          <cell r="C12">
            <v>7214340.5521347802</v>
          </cell>
          <cell r="D12">
            <v>5849223.1621347796</v>
          </cell>
          <cell r="E12">
            <v>767050.86</v>
          </cell>
          <cell r="F12">
            <v>196790.53</v>
          </cell>
          <cell r="G12">
            <v>0</v>
          </cell>
          <cell r="H12">
            <v>40800</v>
          </cell>
          <cell r="I12">
            <v>0</v>
          </cell>
          <cell r="J12">
            <v>360476</v>
          </cell>
          <cell r="K12">
            <v>319848.02</v>
          </cell>
        </row>
        <row r="13">
          <cell r="B13">
            <v>212</v>
          </cell>
          <cell r="C13">
            <v>5404220.8566699997</v>
          </cell>
          <cell r="D13">
            <v>5270396.8566699997</v>
          </cell>
          <cell r="E13">
            <v>65820</v>
          </cell>
          <cell r="F13">
            <v>0</v>
          </cell>
          <cell r="G13">
            <v>11150</v>
          </cell>
          <cell r="H13">
            <v>0</v>
          </cell>
          <cell r="I13">
            <v>0</v>
          </cell>
          <cell r="J13">
            <v>56854</v>
          </cell>
          <cell r="K13">
            <v>47319.33</v>
          </cell>
        </row>
        <row r="14">
          <cell r="B14">
            <v>213</v>
          </cell>
          <cell r="C14">
            <v>12309115.933329999</v>
          </cell>
          <cell r="D14">
            <v>11041101.14333</v>
          </cell>
          <cell r="E14">
            <v>622754</v>
          </cell>
          <cell r="F14">
            <v>180960.79</v>
          </cell>
          <cell r="G14">
            <v>0</v>
          </cell>
          <cell r="H14">
            <v>54400</v>
          </cell>
          <cell r="I14">
            <v>0</v>
          </cell>
          <cell r="J14">
            <v>409900</v>
          </cell>
          <cell r="K14">
            <v>182082.38</v>
          </cell>
        </row>
        <row r="15">
          <cell r="B15">
            <v>347</v>
          </cell>
          <cell r="C15">
            <v>6401303.0266699996</v>
          </cell>
          <cell r="D15">
            <v>5634549.4766699998</v>
          </cell>
          <cell r="E15">
            <v>475926</v>
          </cell>
          <cell r="F15">
            <v>162781.54999999999</v>
          </cell>
          <cell r="G15">
            <v>0</v>
          </cell>
          <cell r="H15">
            <v>0</v>
          </cell>
          <cell r="I15">
            <v>0</v>
          </cell>
          <cell r="J15">
            <v>128046</v>
          </cell>
          <cell r="K15">
            <v>118097.72</v>
          </cell>
        </row>
        <row r="16">
          <cell r="B16">
            <v>404</v>
          </cell>
          <cell r="C16">
            <v>8169792.6999999993</v>
          </cell>
          <cell r="D16">
            <v>7182550.9100000001</v>
          </cell>
          <cell r="E16">
            <v>691105</v>
          </cell>
          <cell r="F16">
            <v>197695.79</v>
          </cell>
          <cell r="G16">
            <v>0</v>
          </cell>
          <cell r="H16">
            <v>27200</v>
          </cell>
          <cell r="I16">
            <v>0</v>
          </cell>
          <cell r="J16">
            <v>71241</v>
          </cell>
          <cell r="K16">
            <v>163091.60999999999</v>
          </cell>
        </row>
        <row r="17">
          <cell r="B17">
            <v>296</v>
          </cell>
          <cell r="C17">
            <v>8174305.7400000002</v>
          </cell>
          <cell r="D17">
            <v>7458697.9399999995</v>
          </cell>
          <cell r="E17">
            <v>458205</v>
          </cell>
          <cell r="F17">
            <v>219914.80000000002</v>
          </cell>
          <cell r="G17">
            <v>0</v>
          </cell>
          <cell r="H17">
            <v>0</v>
          </cell>
          <cell r="I17">
            <v>0</v>
          </cell>
          <cell r="J17">
            <v>37488</v>
          </cell>
          <cell r="K17">
            <v>172190.62</v>
          </cell>
        </row>
        <row r="18">
          <cell r="B18">
            <v>219</v>
          </cell>
          <cell r="C18">
            <v>4695014.1133329999</v>
          </cell>
          <cell r="D18">
            <v>4077185.2033329997</v>
          </cell>
          <cell r="E18">
            <v>260747</v>
          </cell>
          <cell r="F18">
            <v>104743.91</v>
          </cell>
          <cell r="G18">
            <v>0</v>
          </cell>
          <cell r="H18">
            <v>27200</v>
          </cell>
          <cell r="I18">
            <v>0</v>
          </cell>
          <cell r="J18">
            <v>225138</v>
          </cell>
          <cell r="K18">
            <v>61235.65</v>
          </cell>
        </row>
        <row r="19">
          <cell r="B19">
            <v>220</v>
          </cell>
          <cell r="C19">
            <v>5359632.95</v>
          </cell>
          <cell r="D19">
            <v>4775975.41</v>
          </cell>
          <cell r="E19">
            <v>303782</v>
          </cell>
          <cell r="F19">
            <v>126506.54000000001</v>
          </cell>
          <cell r="G19">
            <v>0</v>
          </cell>
          <cell r="H19">
            <v>40800</v>
          </cell>
          <cell r="I19">
            <v>0</v>
          </cell>
          <cell r="J19">
            <v>112569</v>
          </cell>
          <cell r="K19">
            <v>134028.64000000001</v>
          </cell>
        </row>
        <row r="20">
          <cell r="B20">
            <v>221</v>
          </cell>
          <cell r="C20">
            <v>5117280.898140884</v>
          </cell>
          <cell r="D20">
            <v>4243844.6681408845</v>
          </cell>
          <cell r="E20">
            <v>516430</v>
          </cell>
          <cell r="F20">
            <v>138297.23000000001</v>
          </cell>
          <cell r="G20">
            <v>0</v>
          </cell>
          <cell r="H20">
            <v>27200</v>
          </cell>
          <cell r="I20">
            <v>0</v>
          </cell>
          <cell r="J20">
            <v>191509</v>
          </cell>
          <cell r="K20">
            <v>179083.55</v>
          </cell>
        </row>
        <row r="21">
          <cell r="B21">
            <v>247</v>
          </cell>
          <cell r="C21">
            <v>5012578.9293461051</v>
          </cell>
          <cell r="D21">
            <v>4082594.6043461049</v>
          </cell>
          <cell r="E21">
            <v>465798</v>
          </cell>
          <cell r="F21">
            <v>211848.32500000001</v>
          </cell>
          <cell r="G21">
            <v>0</v>
          </cell>
          <cell r="H21">
            <v>27200</v>
          </cell>
          <cell r="I21">
            <v>0</v>
          </cell>
          <cell r="J21">
            <v>225138</v>
          </cell>
          <cell r="K21">
            <v>161663.60999999999</v>
          </cell>
        </row>
        <row r="22">
          <cell r="B22">
            <v>360</v>
          </cell>
          <cell r="C22">
            <v>5793220.1033330001</v>
          </cell>
          <cell r="D22">
            <v>5614733.1033330001</v>
          </cell>
          <cell r="E22">
            <v>169612</v>
          </cell>
          <cell r="F22">
            <v>0</v>
          </cell>
          <cell r="G22">
            <v>8875</v>
          </cell>
          <cell r="H22">
            <v>0</v>
          </cell>
          <cell r="I22">
            <v>0</v>
          </cell>
          <cell r="J22">
            <v>0</v>
          </cell>
          <cell r="K22">
            <v>35038.51</v>
          </cell>
        </row>
        <row r="23">
          <cell r="B23">
            <v>454</v>
          </cell>
          <cell r="C23">
            <v>16338686.793329999</v>
          </cell>
          <cell r="D23">
            <v>13986330.24333</v>
          </cell>
          <cell r="E23">
            <v>1425811</v>
          </cell>
          <cell r="F23">
            <v>500376.55000000005</v>
          </cell>
          <cell r="G23">
            <v>0</v>
          </cell>
          <cell r="H23">
            <v>0</v>
          </cell>
          <cell r="I23">
            <v>0</v>
          </cell>
          <cell r="J23">
            <v>426169</v>
          </cell>
          <cell r="K23">
            <v>261511.39</v>
          </cell>
        </row>
        <row r="24">
          <cell r="B24">
            <v>224</v>
          </cell>
          <cell r="C24">
            <v>5644643.82333</v>
          </cell>
          <cell r="D24">
            <v>4911048.9533299999</v>
          </cell>
          <cell r="E24">
            <v>331629</v>
          </cell>
          <cell r="F24">
            <v>136027.87</v>
          </cell>
          <cell r="G24">
            <v>0</v>
          </cell>
          <cell r="H24">
            <v>40800</v>
          </cell>
          <cell r="I24">
            <v>0</v>
          </cell>
          <cell r="J24">
            <v>225138</v>
          </cell>
          <cell r="K24">
            <v>92286.02</v>
          </cell>
        </row>
        <row r="25">
          <cell r="B25">
            <v>442</v>
          </cell>
          <cell r="C25">
            <v>22211614.899999999</v>
          </cell>
          <cell r="D25">
            <v>19072402.039999999</v>
          </cell>
          <cell r="E25">
            <v>2374479.5</v>
          </cell>
          <cell r="F25">
            <v>520889.36</v>
          </cell>
          <cell r="G25">
            <v>0</v>
          </cell>
          <cell r="H25">
            <v>0</v>
          </cell>
          <cell r="I25">
            <v>18706</v>
          </cell>
          <cell r="J25">
            <v>225138</v>
          </cell>
          <cell r="K25">
            <v>569787.63</v>
          </cell>
        </row>
        <row r="26">
          <cell r="B26">
            <v>455</v>
          </cell>
          <cell r="C26">
            <v>12799529.431669999</v>
          </cell>
          <cell r="D26">
            <v>11165921.521670001</v>
          </cell>
          <cell r="E26">
            <v>1086199</v>
          </cell>
          <cell r="F26">
            <v>522767.91000000003</v>
          </cell>
          <cell r="G26">
            <v>0</v>
          </cell>
          <cell r="H26">
            <v>0</v>
          </cell>
          <cell r="I26">
            <v>24641</v>
          </cell>
          <cell r="J26">
            <v>0</v>
          </cell>
          <cell r="K26">
            <v>270050.21000000002</v>
          </cell>
        </row>
        <row r="27">
          <cell r="B27">
            <v>405</v>
          </cell>
          <cell r="C27">
            <v>16669132.73667</v>
          </cell>
          <cell r="D27">
            <v>15850807.73667</v>
          </cell>
          <cell r="E27">
            <v>412638</v>
          </cell>
          <cell r="F27">
            <v>0</v>
          </cell>
          <cell r="G27">
            <v>36650</v>
          </cell>
          <cell r="H27">
            <v>0</v>
          </cell>
          <cell r="I27">
            <v>0</v>
          </cell>
          <cell r="J27">
            <v>369037</v>
          </cell>
          <cell r="K27">
            <v>191587.37</v>
          </cell>
        </row>
        <row r="28">
          <cell r="B28">
            <v>349</v>
          </cell>
          <cell r="C28">
            <v>8872634.0199999996</v>
          </cell>
          <cell r="D28">
            <v>8096456.8300000001</v>
          </cell>
          <cell r="E28">
            <v>465800</v>
          </cell>
          <cell r="F28">
            <v>204953.19</v>
          </cell>
          <cell r="G28">
            <v>0</v>
          </cell>
          <cell r="H28">
            <v>0</v>
          </cell>
          <cell r="I28">
            <v>0</v>
          </cell>
          <cell r="J28">
            <v>105424</v>
          </cell>
          <cell r="K28">
            <v>186366.74</v>
          </cell>
        </row>
        <row r="29">
          <cell r="B29">
            <v>231</v>
          </cell>
          <cell r="C29">
            <v>4568588.8512052204</v>
          </cell>
          <cell r="D29">
            <v>3783834.9012052198</v>
          </cell>
          <cell r="E29">
            <v>417700</v>
          </cell>
          <cell r="F29">
            <v>101115.95</v>
          </cell>
          <cell r="G29">
            <v>0</v>
          </cell>
          <cell r="H29">
            <v>40800</v>
          </cell>
          <cell r="I29">
            <v>0</v>
          </cell>
          <cell r="J29">
            <v>225138</v>
          </cell>
          <cell r="K29">
            <v>126964.59</v>
          </cell>
        </row>
        <row r="30">
          <cell r="B30">
            <v>467</v>
          </cell>
          <cell r="C30">
            <v>11608034.875</v>
          </cell>
          <cell r="D30">
            <v>9694023.2349999994</v>
          </cell>
          <cell r="E30">
            <v>1260215</v>
          </cell>
          <cell r="F30">
            <v>520350.64</v>
          </cell>
          <cell r="G30">
            <v>0</v>
          </cell>
          <cell r="H30">
            <v>0</v>
          </cell>
          <cell r="I30">
            <v>20877</v>
          </cell>
          <cell r="J30">
            <v>112569</v>
          </cell>
          <cell r="K30">
            <v>270835.06</v>
          </cell>
        </row>
        <row r="31">
          <cell r="B31">
            <v>457</v>
          </cell>
          <cell r="C31">
            <v>13086469.265000001</v>
          </cell>
          <cell r="D31">
            <v>10791003.105</v>
          </cell>
          <cell r="E31">
            <v>1566147</v>
          </cell>
          <cell r="F31">
            <v>579320.16</v>
          </cell>
          <cell r="G31">
            <v>0</v>
          </cell>
          <cell r="H31">
            <v>0</v>
          </cell>
          <cell r="I31">
            <v>32912</v>
          </cell>
          <cell r="J31">
            <v>117087</v>
          </cell>
          <cell r="K31">
            <v>350511.84</v>
          </cell>
        </row>
        <row r="32">
          <cell r="B32">
            <v>232</v>
          </cell>
          <cell r="C32">
            <v>5604409.9533299999</v>
          </cell>
          <cell r="D32">
            <v>5478800.4533299999</v>
          </cell>
          <cell r="E32">
            <v>58225</v>
          </cell>
          <cell r="F32">
            <v>0</v>
          </cell>
          <cell r="G32">
            <v>11100</v>
          </cell>
          <cell r="H32">
            <v>0</v>
          </cell>
          <cell r="I32">
            <v>0</v>
          </cell>
          <cell r="J32">
            <v>56284.5</v>
          </cell>
          <cell r="K32">
            <v>59973.69</v>
          </cell>
        </row>
        <row r="33">
          <cell r="B33">
            <v>407</v>
          </cell>
          <cell r="C33">
            <v>5677150.5531408843</v>
          </cell>
          <cell r="D33">
            <v>5023357.0031408835</v>
          </cell>
          <cell r="E33">
            <v>415169</v>
          </cell>
          <cell r="F33">
            <v>126055.54999999999</v>
          </cell>
          <cell r="G33">
            <v>0</v>
          </cell>
          <cell r="H33">
            <v>0</v>
          </cell>
          <cell r="I33">
            <v>0</v>
          </cell>
          <cell r="J33">
            <v>112569</v>
          </cell>
          <cell r="K33">
            <v>117646.79</v>
          </cell>
        </row>
        <row r="34">
          <cell r="B34">
            <v>471</v>
          </cell>
          <cell r="C34">
            <v>10518330.93667</v>
          </cell>
          <cell r="D34">
            <v>9716596.9666699991</v>
          </cell>
          <cell r="E34">
            <v>538889.97</v>
          </cell>
          <cell r="F34">
            <v>0</v>
          </cell>
          <cell r="G34">
            <v>15275</v>
          </cell>
          <cell r="H34">
            <v>0</v>
          </cell>
          <cell r="I34">
            <v>0</v>
          </cell>
          <cell r="J34">
            <v>247569</v>
          </cell>
          <cell r="K34">
            <v>94334.7</v>
          </cell>
        </row>
        <row r="35">
          <cell r="B35">
            <v>318</v>
          </cell>
          <cell r="C35">
            <v>7761888.3326761052</v>
          </cell>
          <cell r="D35">
            <v>6477165.6226761043</v>
          </cell>
          <cell r="E35">
            <v>880968.87</v>
          </cell>
          <cell r="F35">
            <v>206766.84000000003</v>
          </cell>
          <cell r="G35">
            <v>0</v>
          </cell>
          <cell r="H35">
            <v>54400</v>
          </cell>
          <cell r="I35">
            <v>0</v>
          </cell>
          <cell r="J35">
            <v>142587</v>
          </cell>
          <cell r="K35">
            <v>269421.68</v>
          </cell>
        </row>
        <row r="36">
          <cell r="B36">
            <v>238</v>
          </cell>
          <cell r="C36">
            <v>5285495.9093431048</v>
          </cell>
          <cell r="D36">
            <v>4100543.149343105</v>
          </cell>
          <cell r="E36">
            <v>480988.64</v>
          </cell>
          <cell r="F36">
            <v>108370.12</v>
          </cell>
          <cell r="G36">
            <v>0</v>
          </cell>
          <cell r="H36">
            <v>40800</v>
          </cell>
          <cell r="I36">
            <v>0</v>
          </cell>
          <cell r="J36">
            <v>554794</v>
          </cell>
          <cell r="K36">
            <v>151027.20000000001</v>
          </cell>
        </row>
        <row r="37">
          <cell r="B37">
            <v>239</v>
          </cell>
          <cell r="C37">
            <v>6041440.0099999998</v>
          </cell>
          <cell r="D37">
            <v>5443874.3200000003</v>
          </cell>
          <cell r="E37">
            <v>354412.9</v>
          </cell>
          <cell r="F37">
            <v>152352.79</v>
          </cell>
          <cell r="G37">
            <v>0</v>
          </cell>
          <cell r="H37">
            <v>40800</v>
          </cell>
          <cell r="I37">
            <v>0</v>
          </cell>
          <cell r="J37">
            <v>50000</v>
          </cell>
          <cell r="K37">
            <v>151292.96</v>
          </cell>
        </row>
        <row r="38">
          <cell r="B38">
            <v>227</v>
          </cell>
          <cell r="C38">
            <v>7647432.7533299997</v>
          </cell>
          <cell r="D38">
            <v>6773377.28333</v>
          </cell>
          <cell r="E38">
            <v>531619.5</v>
          </cell>
          <cell r="F38">
            <v>185906.97</v>
          </cell>
          <cell r="G38">
            <v>0</v>
          </cell>
          <cell r="H38">
            <v>0</v>
          </cell>
          <cell r="I38">
            <v>0</v>
          </cell>
          <cell r="J38">
            <v>156529</v>
          </cell>
          <cell r="K38">
            <v>177307.99</v>
          </cell>
        </row>
        <row r="39">
          <cell r="B39">
            <v>246</v>
          </cell>
          <cell r="C39">
            <v>7069371.7066700002</v>
          </cell>
          <cell r="D39">
            <v>6618460.7066700002</v>
          </cell>
          <cell r="E39">
            <v>212648</v>
          </cell>
          <cell r="F39">
            <v>0</v>
          </cell>
          <cell r="G39">
            <v>13125</v>
          </cell>
          <cell r="H39">
            <v>0</v>
          </cell>
          <cell r="I39">
            <v>0</v>
          </cell>
          <cell r="J39">
            <v>225138</v>
          </cell>
          <cell r="K39">
            <v>80378.039999999994</v>
          </cell>
        </row>
        <row r="40">
          <cell r="B40">
            <v>413</v>
          </cell>
          <cell r="C40">
            <v>7869079.296394337</v>
          </cell>
          <cell r="D40">
            <v>6459636.6063943375</v>
          </cell>
          <cell r="E40">
            <v>941725</v>
          </cell>
          <cell r="F40">
            <v>215379.69</v>
          </cell>
          <cell r="G40">
            <v>0</v>
          </cell>
          <cell r="H40">
            <v>27200</v>
          </cell>
          <cell r="I40">
            <v>0</v>
          </cell>
          <cell r="J40">
            <v>225138</v>
          </cell>
          <cell r="K40">
            <v>210552.37</v>
          </cell>
        </row>
        <row r="41">
          <cell r="B41">
            <v>258</v>
          </cell>
          <cell r="C41">
            <v>5438567.5999999996</v>
          </cell>
          <cell r="D41">
            <v>5258923.5999999996</v>
          </cell>
          <cell r="E41">
            <v>58225</v>
          </cell>
          <cell r="F41">
            <v>0</v>
          </cell>
          <cell r="G41">
            <v>8850</v>
          </cell>
          <cell r="H41">
            <v>0</v>
          </cell>
          <cell r="I41">
            <v>0</v>
          </cell>
          <cell r="J41">
            <v>112569</v>
          </cell>
          <cell r="K41">
            <v>35794.639999999999</v>
          </cell>
        </row>
        <row r="42">
          <cell r="B42">
            <v>249</v>
          </cell>
          <cell r="C42">
            <v>6083871.0960091054</v>
          </cell>
          <cell r="D42">
            <v>5093768.2260091053</v>
          </cell>
          <cell r="E42">
            <v>696168</v>
          </cell>
          <cell r="F42">
            <v>140565.87</v>
          </cell>
          <cell r="G42">
            <v>0</v>
          </cell>
          <cell r="H42">
            <v>40800</v>
          </cell>
          <cell r="I42">
            <v>0</v>
          </cell>
          <cell r="J42">
            <v>112569</v>
          </cell>
          <cell r="K42">
            <v>206943.12</v>
          </cell>
        </row>
        <row r="43">
          <cell r="B43">
            <v>251</v>
          </cell>
          <cell r="C43">
            <v>5857081.7175995577</v>
          </cell>
          <cell r="D43">
            <v>5009462.1875995584</v>
          </cell>
          <cell r="E43">
            <v>511366.73</v>
          </cell>
          <cell r="F43">
            <v>127869.3</v>
          </cell>
          <cell r="G43">
            <v>0</v>
          </cell>
          <cell r="H43">
            <v>40800</v>
          </cell>
          <cell r="I43">
            <v>0</v>
          </cell>
          <cell r="J43">
            <v>167583.5</v>
          </cell>
          <cell r="K43">
            <v>215399.28</v>
          </cell>
        </row>
        <row r="44">
          <cell r="B44">
            <v>252</v>
          </cell>
          <cell r="C44">
            <v>5161237.5466670003</v>
          </cell>
          <cell r="D44">
            <v>4999731.5466670003</v>
          </cell>
          <cell r="E44">
            <v>113918</v>
          </cell>
          <cell r="F44">
            <v>0</v>
          </cell>
          <cell r="G44">
            <v>10100</v>
          </cell>
          <cell r="H44">
            <v>0</v>
          </cell>
          <cell r="I44">
            <v>0</v>
          </cell>
          <cell r="J44">
            <v>37488</v>
          </cell>
          <cell r="K44">
            <v>62800.22</v>
          </cell>
        </row>
        <row r="45">
          <cell r="B45">
            <v>1071</v>
          </cell>
          <cell r="C45">
            <v>8828427.3300000001</v>
          </cell>
          <cell r="D45">
            <v>7604676.9100000001</v>
          </cell>
          <cell r="E45">
            <v>812617</v>
          </cell>
          <cell r="F45">
            <v>182434.42</v>
          </cell>
          <cell r="G45">
            <v>0</v>
          </cell>
          <cell r="H45">
            <v>0</v>
          </cell>
          <cell r="I45">
            <v>0</v>
          </cell>
          <cell r="J45">
            <v>228699</v>
          </cell>
          <cell r="K45">
            <v>230674.73</v>
          </cell>
        </row>
        <row r="46">
          <cell r="B46">
            <v>950</v>
          </cell>
          <cell r="C46">
            <v>2002247.279342775</v>
          </cell>
          <cell r="D46">
            <v>1937512.2218427751</v>
          </cell>
          <cell r="E46">
            <v>0</v>
          </cell>
          <cell r="F46">
            <v>63735.057500000003</v>
          </cell>
          <cell r="G46">
            <v>1000</v>
          </cell>
          <cell r="H46">
            <v>0</v>
          </cell>
          <cell r="I46">
            <v>0</v>
          </cell>
          <cell r="J46">
            <v>0</v>
          </cell>
          <cell r="K46">
            <v>30700</v>
          </cell>
        </row>
        <row r="47">
          <cell r="B47">
            <v>339</v>
          </cell>
          <cell r="C47">
            <v>7446308.1899999995</v>
          </cell>
          <cell r="D47">
            <v>6546225.8499999996</v>
          </cell>
          <cell r="E47">
            <v>579717.68999999994</v>
          </cell>
          <cell r="F47">
            <v>199058.65</v>
          </cell>
          <cell r="G47">
            <v>0</v>
          </cell>
          <cell r="H47">
            <v>51000</v>
          </cell>
          <cell r="I47">
            <v>0</v>
          </cell>
          <cell r="J47">
            <v>70306</v>
          </cell>
          <cell r="K47">
            <v>168767.02</v>
          </cell>
        </row>
        <row r="48">
          <cell r="B48">
            <v>254</v>
          </cell>
          <cell r="C48">
            <v>8006057.8833329994</v>
          </cell>
          <cell r="D48">
            <v>7940008.8833329994</v>
          </cell>
          <cell r="E48">
            <v>48099</v>
          </cell>
          <cell r="F48">
            <v>0</v>
          </cell>
          <cell r="G48">
            <v>17950</v>
          </cell>
          <cell r="H48">
            <v>0</v>
          </cell>
          <cell r="I48">
            <v>0</v>
          </cell>
          <cell r="J48">
            <v>0</v>
          </cell>
          <cell r="K48">
            <v>53537.33</v>
          </cell>
        </row>
        <row r="49">
          <cell r="B49">
            <v>433</v>
          </cell>
          <cell r="C49">
            <v>6269242.3975995583</v>
          </cell>
          <cell r="D49">
            <v>5512196.6775995586</v>
          </cell>
          <cell r="E49">
            <v>567060</v>
          </cell>
          <cell r="F49">
            <v>176385.72</v>
          </cell>
          <cell r="G49">
            <v>0</v>
          </cell>
          <cell r="H49">
            <v>13600</v>
          </cell>
          <cell r="I49">
            <v>0</v>
          </cell>
          <cell r="J49">
            <v>0</v>
          </cell>
          <cell r="K49">
            <v>154739.41</v>
          </cell>
        </row>
        <row r="50">
          <cell r="B50">
            <v>416</v>
          </cell>
          <cell r="C50">
            <v>6659652.1304647792</v>
          </cell>
          <cell r="D50">
            <v>5634600.390464779</v>
          </cell>
          <cell r="E50">
            <v>746798</v>
          </cell>
          <cell r="F50">
            <v>168223.74</v>
          </cell>
          <cell r="G50">
            <v>0</v>
          </cell>
          <cell r="H50">
            <v>0</v>
          </cell>
          <cell r="I50">
            <v>0</v>
          </cell>
          <cell r="J50">
            <v>110030</v>
          </cell>
          <cell r="K50">
            <v>189061.03</v>
          </cell>
        </row>
        <row r="51">
          <cell r="B51">
            <v>421</v>
          </cell>
          <cell r="C51">
            <v>8275761.2366700005</v>
          </cell>
          <cell r="D51">
            <v>7051681.2366700005</v>
          </cell>
          <cell r="E51">
            <v>794897</v>
          </cell>
          <cell r="F51">
            <v>204045</v>
          </cell>
          <cell r="G51">
            <v>0</v>
          </cell>
          <cell r="H51">
            <v>0</v>
          </cell>
          <cell r="I51">
            <v>0</v>
          </cell>
          <cell r="J51">
            <v>225138</v>
          </cell>
          <cell r="K51">
            <v>218434.22</v>
          </cell>
        </row>
        <row r="52">
          <cell r="B52">
            <v>257</v>
          </cell>
          <cell r="C52">
            <v>5746386.3218591157</v>
          </cell>
          <cell r="D52">
            <v>4562307.2218591161</v>
          </cell>
          <cell r="E52">
            <v>663257.5</v>
          </cell>
          <cell r="F52">
            <v>152353.60000000001</v>
          </cell>
          <cell r="G52">
            <v>0</v>
          </cell>
          <cell r="H52">
            <v>27200</v>
          </cell>
          <cell r="I52">
            <v>0</v>
          </cell>
          <cell r="J52">
            <v>341268</v>
          </cell>
          <cell r="K52">
            <v>246407.5</v>
          </cell>
        </row>
        <row r="53">
          <cell r="B53">
            <v>272</v>
          </cell>
          <cell r="C53">
            <v>4525013.47</v>
          </cell>
          <cell r="D53">
            <v>4500824.47</v>
          </cell>
          <cell r="E53">
            <v>15189</v>
          </cell>
          <cell r="F53">
            <v>0</v>
          </cell>
          <cell r="G53">
            <v>9000</v>
          </cell>
          <cell r="H53">
            <v>0</v>
          </cell>
          <cell r="I53">
            <v>0</v>
          </cell>
          <cell r="J53">
            <v>0</v>
          </cell>
          <cell r="K53">
            <v>33780</v>
          </cell>
        </row>
        <row r="54">
          <cell r="B54">
            <v>259</v>
          </cell>
          <cell r="C54">
            <v>6201189.563140884</v>
          </cell>
          <cell r="D54">
            <v>5006190.563140884</v>
          </cell>
          <cell r="E54">
            <v>729077</v>
          </cell>
          <cell r="F54">
            <v>180466</v>
          </cell>
          <cell r="G54">
            <v>0</v>
          </cell>
          <cell r="H54">
            <v>40800</v>
          </cell>
          <cell r="I54">
            <v>0</v>
          </cell>
          <cell r="J54">
            <v>244656</v>
          </cell>
          <cell r="K54">
            <v>269212.21000000002</v>
          </cell>
        </row>
        <row r="55">
          <cell r="B55">
            <v>344</v>
          </cell>
          <cell r="C55">
            <v>5474596.5876761051</v>
          </cell>
          <cell r="D55">
            <v>4603110.6926761046</v>
          </cell>
          <cell r="E55">
            <v>544277.09499999997</v>
          </cell>
          <cell r="F55">
            <v>122424.8</v>
          </cell>
          <cell r="G55">
            <v>0</v>
          </cell>
          <cell r="H55">
            <v>27200</v>
          </cell>
          <cell r="I55">
            <v>0</v>
          </cell>
          <cell r="J55">
            <v>177584</v>
          </cell>
          <cell r="K55">
            <v>122372.31</v>
          </cell>
        </row>
        <row r="56">
          <cell r="B56">
            <v>417</v>
          </cell>
          <cell r="C56">
            <v>5829421.12879478</v>
          </cell>
          <cell r="D56">
            <v>5006710.0187947806</v>
          </cell>
          <cell r="E56">
            <v>529088</v>
          </cell>
          <cell r="F56">
            <v>111544.11</v>
          </cell>
          <cell r="G56">
            <v>0</v>
          </cell>
          <cell r="H56">
            <v>0</v>
          </cell>
          <cell r="I56">
            <v>0</v>
          </cell>
          <cell r="J56">
            <v>182079</v>
          </cell>
          <cell r="K56">
            <v>117805.41</v>
          </cell>
        </row>
        <row r="57">
          <cell r="B57">
            <v>261</v>
          </cell>
          <cell r="C57">
            <v>11655984.956670001</v>
          </cell>
          <cell r="D57">
            <v>10617678.456670001</v>
          </cell>
          <cell r="E57">
            <v>96198</v>
          </cell>
          <cell r="F57">
            <v>0</v>
          </cell>
          <cell r="G57">
            <v>24550</v>
          </cell>
          <cell r="H57">
            <v>0</v>
          </cell>
          <cell r="I57">
            <v>0</v>
          </cell>
          <cell r="J57">
            <v>917558.5</v>
          </cell>
          <cell r="K57">
            <v>84520.98</v>
          </cell>
        </row>
        <row r="58">
          <cell r="B58">
            <v>262</v>
          </cell>
          <cell r="C58">
            <v>6268272.7133300006</v>
          </cell>
          <cell r="D58">
            <v>5224239.8733300008</v>
          </cell>
          <cell r="E58">
            <v>455674</v>
          </cell>
          <cell r="F58">
            <v>162330.84</v>
          </cell>
          <cell r="G58">
            <v>0</v>
          </cell>
          <cell r="H58">
            <v>40800</v>
          </cell>
          <cell r="I58">
            <v>0</v>
          </cell>
          <cell r="J58">
            <v>385228</v>
          </cell>
          <cell r="K58">
            <v>164548.37</v>
          </cell>
        </row>
        <row r="59">
          <cell r="B59">
            <v>370</v>
          </cell>
          <cell r="C59">
            <v>6428970.2266700007</v>
          </cell>
          <cell r="D59">
            <v>5609414.7816700004</v>
          </cell>
          <cell r="E59">
            <v>427827</v>
          </cell>
          <cell r="F59">
            <v>250390.44500000001</v>
          </cell>
          <cell r="G59">
            <v>0</v>
          </cell>
          <cell r="H59">
            <v>27200</v>
          </cell>
          <cell r="I59">
            <v>0</v>
          </cell>
          <cell r="J59">
            <v>114138</v>
          </cell>
          <cell r="K59">
            <v>183831.97</v>
          </cell>
        </row>
        <row r="60">
          <cell r="B60">
            <v>264</v>
          </cell>
          <cell r="C60">
            <v>7270125.3533299994</v>
          </cell>
          <cell r="D60">
            <v>6515636.8133300003</v>
          </cell>
          <cell r="E60">
            <v>303782</v>
          </cell>
          <cell r="F60">
            <v>114263.54000000001</v>
          </cell>
          <cell r="G60">
            <v>0</v>
          </cell>
          <cell r="H60">
            <v>40800</v>
          </cell>
          <cell r="I60">
            <v>0</v>
          </cell>
          <cell r="J60">
            <v>295643</v>
          </cell>
          <cell r="K60">
            <v>86818.25</v>
          </cell>
        </row>
        <row r="61">
          <cell r="B61">
            <v>266</v>
          </cell>
          <cell r="C61">
            <v>7688952.5</v>
          </cell>
          <cell r="D61">
            <v>6677314.6699999999</v>
          </cell>
          <cell r="E61">
            <v>645538</v>
          </cell>
          <cell r="F61">
            <v>220820.83000000002</v>
          </cell>
          <cell r="G61">
            <v>0</v>
          </cell>
          <cell r="H61">
            <v>54400</v>
          </cell>
          <cell r="I61">
            <v>0</v>
          </cell>
          <cell r="J61">
            <v>90879</v>
          </cell>
          <cell r="K61">
            <v>157992.4</v>
          </cell>
        </row>
        <row r="62">
          <cell r="B62">
            <v>271</v>
          </cell>
          <cell r="C62">
            <v>6709431.4333299994</v>
          </cell>
          <cell r="D62">
            <v>6127979.5133299995</v>
          </cell>
          <cell r="E62">
            <v>270872.92</v>
          </cell>
          <cell r="F62">
            <v>0</v>
          </cell>
          <cell r="G62">
            <v>11225</v>
          </cell>
          <cell r="H62">
            <v>0</v>
          </cell>
          <cell r="I62">
            <v>0</v>
          </cell>
          <cell r="J62">
            <v>299354</v>
          </cell>
          <cell r="K62">
            <v>118061.5</v>
          </cell>
        </row>
        <row r="63">
          <cell r="B63">
            <v>884</v>
          </cell>
          <cell r="C63">
            <v>5012360.5809295578</v>
          </cell>
          <cell r="D63">
            <v>4947368.2109295577</v>
          </cell>
          <cell r="E63">
            <v>0</v>
          </cell>
          <cell r="F63">
            <v>64992.369999999995</v>
          </cell>
          <cell r="G63">
            <v>0</v>
          </cell>
          <cell r="H63">
            <v>0</v>
          </cell>
          <cell r="I63">
            <v>0</v>
          </cell>
          <cell r="J63">
            <v>0</v>
          </cell>
          <cell r="K63">
            <v>95630.37</v>
          </cell>
        </row>
        <row r="64">
          <cell r="B64">
            <v>420</v>
          </cell>
          <cell r="C64">
            <v>11000460.973330002</v>
          </cell>
          <cell r="D64">
            <v>9691873.3733300008</v>
          </cell>
          <cell r="E64">
            <v>658195</v>
          </cell>
          <cell r="F64">
            <v>290650.59999999998</v>
          </cell>
          <cell r="G64">
            <v>0</v>
          </cell>
          <cell r="H64">
            <v>0</v>
          </cell>
          <cell r="I64">
            <v>0</v>
          </cell>
          <cell r="J64">
            <v>359742</v>
          </cell>
          <cell r="K64">
            <v>227737.43</v>
          </cell>
        </row>
        <row r="65">
          <cell r="B65">
            <v>308</v>
          </cell>
          <cell r="C65">
            <v>4658337.7043461055</v>
          </cell>
          <cell r="D65">
            <v>3958455.6493461048</v>
          </cell>
          <cell r="E65">
            <v>478457.41500000004</v>
          </cell>
          <cell r="F65">
            <v>105648.64000000001</v>
          </cell>
          <cell r="G65">
            <v>0</v>
          </cell>
          <cell r="H65">
            <v>40800</v>
          </cell>
          <cell r="I65">
            <v>0</v>
          </cell>
          <cell r="J65">
            <v>74976</v>
          </cell>
          <cell r="K65">
            <v>136683.10999999999</v>
          </cell>
        </row>
        <row r="66">
          <cell r="B66">
            <v>273</v>
          </cell>
          <cell r="C66">
            <v>5122270.7666699998</v>
          </cell>
          <cell r="D66">
            <v>4943233.7666699998</v>
          </cell>
          <cell r="E66">
            <v>37973</v>
          </cell>
          <cell r="F66">
            <v>0</v>
          </cell>
          <cell r="G66">
            <v>10050</v>
          </cell>
          <cell r="H66">
            <v>0</v>
          </cell>
          <cell r="I66">
            <v>0</v>
          </cell>
          <cell r="J66">
            <v>131014</v>
          </cell>
          <cell r="K66">
            <v>27791.63</v>
          </cell>
        </row>
        <row r="67">
          <cell r="B67">
            <v>284</v>
          </cell>
          <cell r="C67">
            <v>8656288.9499999993</v>
          </cell>
          <cell r="D67">
            <v>8017716.2300000004</v>
          </cell>
          <cell r="E67">
            <v>341755</v>
          </cell>
          <cell r="F67">
            <v>207217.72</v>
          </cell>
          <cell r="G67">
            <v>0</v>
          </cell>
          <cell r="H67">
            <v>81600</v>
          </cell>
          <cell r="I67">
            <v>0</v>
          </cell>
          <cell r="J67">
            <v>8000</v>
          </cell>
          <cell r="K67">
            <v>122144.73</v>
          </cell>
        </row>
        <row r="68">
          <cell r="B68">
            <v>274</v>
          </cell>
          <cell r="C68">
            <v>6074881.9966669995</v>
          </cell>
          <cell r="D68">
            <v>5777444.9966669995</v>
          </cell>
          <cell r="E68">
            <v>172143</v>
          </cell>
          <cell r="F68">
            <v>0</v>
          </cell>
          <cell r="G68">
            <v>12725</v>
          </cell>
          <cell r="H68">
            <v>0</v>
          </cell>
          <cell r="I68">
            <v>0</v>
          </cell>
          <cell r="J68">
            <v>112569</v>
          </cell>
          <cell r="K68">
            <v>81936.820000000007</v>
          </cell>
        </row>
        <row r="69">
          <cell r="B69">
            <v>435</v>
          </cell>
          <cell r="C69">
            <v>5348500.0733329998</v>
          </cell>
          <cell r="D69">
            <v>4792182.7933329996</v>
          </cell>
          <cell r="E69">
            <v>460737</v>
          </cell>
          <cell r="F69">
            <v>95580.28</v>
          </cell>
          <cell r="G69">
            <v>0</v>
          </cell>
          <cell r="H69">
            <v>0</v>
          </cell>
          <cell r="I69">
            <v>0</v>
          </cell>
          <cell r="J69">
            <v>0</v>
          </cell>
          <cell r="K69">
            <v>117407.34</v>
          </cell>
        </row>
        <row r="70">
          <cell r="B70">
            <v>458</v>
          </cell>
          <cell r="C70">
            <v>9770134.2899999991</v>
          </cell>
          <cell r="D70">
            <v>8596537.9499999993</v>
          </cell>
          <cell r="E70">
            <v>752199</v>
          </cell>
          <cell r="F70">
            <v>221740.13999999998</v>
          </cell>
          <cell r="G70">
            <v>0</v>
          </cell>
          <cell r="H70">
            <v>0</v>
          </cell>
          <cell r="I70">
            <v>43128.2</v>
          </cell>
          <cell r="J70">
            <v>156529</v>
          </cell>
          <cell r="K70">
            <v>199841.22</v>
          </cell>
        </row>
        <row r="71">
          <cell r="B71">
            <v>1165</v>
          </cell>
          <cell r="C71">
            <v>2411411.34</v>
          </cell>
          <cell r="D71">
            <v>2303490.15</v>
          </cell>
          <cell r="E71">
            <v>93666</v>
          </cell>
          <cell r="F71">
            <v>14255.19</v>
          </cell>
          <cell r="G71">
            <v>0</v>
          </cell>
          <cell r="H71">
            <v>0</v>
          </cell>
          <cell r="I71">
            <v>0</v>
          </cell>
          <cell r="J71">
            <v>0</v>
          </cell>
          <cell r="K71">
            <v>45000</v>
          </cell>
        </row>
        <row r="72">
          <cell r="B72">
            <v>280</v>
          </cell>
          <cell r="C72">
            <v>7542132.9066699995</v>
          </cell>
          <cell r="D72">
            <v>6448339.4866699995</v>
          </cell>
          <cell r="E72">
            <v>675915</v>
          </cell>
          <cell r="F72">
            <v>189533.42</v>
          </cell>
          <cell r="G72">
            <v>0</v>
          </cell>
          <cell r="H72">
            <v>40800</v>
          </cell>
          <cell r="I72">
            <v>0</v>
          </cell>
          <cell r="J72">
            <v>187545</v>
          </cell>
          <cell r="K72">
            <v>242135.14</v>
          </cell>
        </row>
        <row r="73">
          <cell r="B73">
            <v>285</v>
          </cell>
          <cell r="C73">
            <v>5224230.9560061041</v>
          </cell>
          <cell r="D73">
            <v>4266730.8110061046</v>
          </cell>
          <cell r="E73">
            <v>546808</v>
          </cell>
          <cell r="F73">
            <v>214568.14500000002</v>
          </cell>
          <cell r="G73">
            <v>0</v>
          </cell>
          <cell r="H73">
            <v>40800</v>
          </cell>
          <cell r="I73">
            <v>0</v>
          </cell>
          <cell r="J73">
            <v>155324</v>
          </cell>
          <cell r="K73">
            <v>172473.57</v>
          </cell>
        </row>
        <row r="74">
          <cell r="B74">
            <v>287</v>
          </cell>
          <cell r="C74">
            <v>7502600.6366670001</v>
          </cell>
          <cell r="D74">
            <v>7288609.6366670001</v>
          </cell>
          <cell r="E74">
            <v>86072</v>
          </cell>
          <cell r="F74">
            <v>0</v>
          </cell>
          <cell r="G74">
            <v>15350</v>
          </cell>
          <cell r="H74">
            <v>0</v>
          </cell>
          <cell r="I74">
            <v>0</v>
          </cell>
          <cell r="J74">
            <v>112569</v>
          </cell>
          <cell r="K74">
            <v>60648.07</v>
          </cell>
        </row>
        <row r="75">
          <cell r="B75">
            <v>288</v>
          </cell>
          <cell r="C75">
            <v>5623789.03333</v>
          </cell>
          <cell r="D75">
            <v>4647431.1933300002</v>
          </cell>
          <cell r="E75">
            <v>622753.92999999993</v>
          </cell>
          <cell r="F75">
            <v>147819.91</v>
          </cell>
          <cell r="G75">
            <v>0</v>
          </cell>
          <cell r="H75">
            <v>0</v>
          </cell>
          <cell r="I75">
            <v>0</v>
          </cell>
          <cell r="J75">
            <v>205784</v>
          </cell>
          <cell r="K75">
            <v>275312.81</v>
          </cell>
        </row>
        <row r="76">
          <cell r="B76">
            <v>290</v>
          </cell>
          <cell r="C76">
            <v>4643596.0566699998</v>
          </cell>
          <cell r="D76">
            <v>4145226.7666699998</v>
          </cell>
          <cell r="E76">
            <v>369601.5</v>
          </cell>
          <cell r="F76">
            <v>101567.79000000001</v>
          </cell>
          <cell r="G76">
            <v>0</v>
          </cell>
          <cell r="H76">
            <v>27200</v>
          </cell>
          <cell r="I76">
            <v>0</v>
          </cell>
          <cell r="J76">
            <v>0</v>
          </cell>
          <cell r="K76">
            <v>106431.58</v>
          </cell>
        </row>
        <row r="77">
          <cell r="B77">
            <v>292</v>
          </cell>
          <cell r="C77">
            <v>11187266.1</v>
          </cell>
          <cell r="D77">
            <v>10784208.1</v>
          </cell>
          <cell r="E77">
            <v>215179</v>
          </cell>
          <cell r="F77">
            <v>0</v>
          </cell>
          <cell r="G77">
            <v>19025</v>
          </cell>
          <cell r="H77">
            <v>0</v>
          </cell>
          <cell r="I77">
            <v>0</v>
          </cell>
          <cell r="J77">
            <v>168854</v>
          </cell>
          <cell r="K77">
            <v>90210.68</v>
          </cell>
        </row>
        <row r="78">
          <cell r="B78">
            <v>294</v>
          </cell>
          <cell r="C78">
            <v>6717412.4893431049</v>
          </cell>
          <cell r="D78">
            <v>5536741.7943431046</v>
          </cell>
          <cell r="E78">
            <v>680977</v>
          </cell>
          <cell r="F78">
            <v>249028.39500000002</v>
          </cell>
          <cell r="G78">
            <v>0</v>
          </cell>
          <cell r="H78">
            <v>54400</v>
          </cell>
          <cell r="I78">
            <v>0</v>
          </cell>
          <cell r="J78">
            <v>196265.3</v>
          </cell>
          <cell r="K78">
            <v>134556.64000000001</v>
          </cell>
        </row>
        <row r="79">
          <cell r="B79">
            <v>295</v>
          </cell>
          <cell r="C79">
            <v>5884702.4330613371</v>
          </cell>
          <cell r="D79">
            <v>5042067.5930613372</v>
          </cell>
          <cell r="E79">
            <v>392386</v>
          </cell>
          <cell r="F79">
            <v>146910.84000000003</v>
          </cell>
          <cell r="G79">
            <v>0</v>
          </cell>
          <cell r="H79">
            <v>78200</v>
          </cell>
          <cell r="I79">
            <v>0</v>
          </cell>
          <cell r="J79">
            <v>225138</v>
          </cell>
          <cell r="K79">
            <v>139567.95000000001</v>
          </cell>
        </row>
        <row r="80">
          <cell r="B80">
            <v>301</v>
          </cell>
          <cell r="C80">
            <v>3192164.3560094051</v>
          </cell>
          <cell r="D80">
            <v>3138590.3560094051</v>
          </cell>
          <cell r="E80">
            <v>48099</v>
          </cell>
          <cell r="F80">
            <v>0</v>
          </cell>
          <cell r="G80">
            <v>5475</v>
          </cell>
          <cell r="H80">
            <v>0</v>
          </cell>
          <cell r="I80">
            <v>0</v>
          </cell>
          <cell r="J80">
            <v>0</v>
          </cell>
          <cell r="K80">
            <v>46680</v>
          </cell>
        </row>
        <row r="81">
          <cell r="B81">
            <v>478</v>
          </cell>
          <cell r="C81">
            <v>5844390.5999999996</v>
          </cell>
          <cell r="D81">
            <v>5046049.21</v>
          </cell>
          <cell r="E81">
            <v>552923</v>
          </cell>
          <cell r="F81">
            <v>138750.88999999998</v>
          </cell>
          <cell r="G81">
            <v>0</v>
          </cell>
          <cell r="H81">
            <v>0</v>
          </cell>
          <cell r="I81">
            <v>24897</v>
          </cell>
          <cell r="J81">
            <v>81770.5</v>
          </cell>
          <cell r="K81">
            <v>109571.56</v>
          </cell>
        </row>
        <row r="82">
          <cell r="B82">
            <v>299</v>
          </cell>
          <cell r="C82">
            <v>5372363.2599999998</v>
          </cell>
          <cell r="D82">
            <v>4501317.1099999994</v>
          </cell>
          <cell r="E82">
            <v>508835.5</v>
          </cell>
          <cell r="F82">
            <v>108370.65000000001</v>
          </cell>
          <cell r="G82">
            <v>0</v>
          </cell>
          <cell r="H82">
            <v>64600</v>
          </cell>
          <cell r="I82">
            <v>0</v>
          </cell>
          <cell r="J82">
            <v>189240</v>
          </cell>
          <cell r="K82">
            <v>169471.47</v>
          </cell>
        </row>
        <row r="83">
          <cell r="B83">
            <v>300</v>
          </cell>
          <cell r="C83">
            <v>9484020.0166699998</v>
          </cell>
          <cell r="D83">
            <v>8417302.2766699996</v>
          </cell>
          <cell r="E83">
            <v>511367</v>
          </cell>
          <cell r="F83">
            <v>233063.74000000002</v>
          </cell>
          <cell r="G83">
            <v>0</v>
          </cell>
          <cell r="H83">
            <v>95200</v>
          </cell>
          <cell r="I83">
            <v>0</v>
          </cell>
          <cell r="J83">
            <v>227087</v>
          </cell>
          <cell r="K83">
            <v>220932.61</v>
          </cell>
        </row>
        <row r="84">
          <cell r="B84">
            <v>316</v>
          </cell>
          <cell r="C84">
            <v>5322826.6648108838</v>
          </cell>
          <cell r="D84">
            <v>4418713.2148108836</v>
          </cell>
          <cell r="E84">
            <v>478457.58999999997</v>
          </cell>
          <cell r="F84">
            <v>150086.86000000002</v>
          </cell>
          <cell r="G84">
            <v>0</v>
          </cell>
          <cell r="H84">
            <v>51000</v>
          </cell>
          <cell r="I84">
            <v>0</v>
          </cell>
          <cell r="J84">
            <v>224569</v>
          </cell>
          <cell r="K84">
            <v>109208.97</v>
          </cell>
        </row>
        <row r="85">
          <cell r="B85">
            <v>302</v>
          </cell>
          <cell r="C85">
            <v>8979618.4966700003</v>
          </cell>
          <cell r="D85">
            <v>7931226.3566699997</v>
          </cell>
          <cell r="E85">
            <v>645537.86</v>
          </cell>
          <cell r="F85">
            <v>150697.28</v>
          </cell>
          <cell r="G85">
            <v>0</v>
          </cell>
          <cell r="H85">
            <v>64600</v>
          </cell>
          <cell r="I85">
            <v>0</v>
          </cell>
          <cell r="J85">
            <v>187557</v>
          </cell>
          <cell r="K85">
            <v>258729.92</v>
          </cell>
        </row>
        <row r="86">
          <cell r="B86">
            <v>304</v>
          </cell>
          <cell r="C86">
            <v>6111620.1299999999</v>
          </cell>
          <cell r="D86">
            <v>5847150.1299999999</v>
          </cell>
          <cell r="E86">
            <v>174016</v>
          </cell>
          <cell r="F86">
            <v>59854</v>
          </cell>
          <cell r="G86">
            <v>0</v>
          </cell>
          <cell r="H86">
            <v>30600</v>
          </cell>
          <cell r="I86">
            <v>0</v>
          </cell>
          <cell r="J86">
            <v>0</v>
          </cell>
          <cell r="K86">
            <v>25135.54</v>
          </cell>
        </row>
        <row r="87">
          <cell r="B87">
            <v>436</v>
          </cell>
          <cell r="C87">
            <v>6924951.8810061049</v>
          </cell>
          <cell r="D87">
            <v>5948350.541006105</v>
          </cell>
          <cell r="E87">
            <v>530469</v>
          </cell>
          <cell r="F87">
            <v>312117.33999999997</v>
          </cell>
          <cell r="G87">
            <v>0</v>
          </cell>
          <cell r="H87">
            <v>0</v>
          </cell>
          <cell r="I87">
            <v>0</v>
          </cell>
          <cell r="J87">
            <v>134015</v>
          </cell>
          <cell r="K87">
            <v>118974.25</v>
          </cell>
        </row>
        <row r="88">
          <cell r="B88">
            <v>459</v>
          </cell>
          <cell r="C88">
            <v>14779099.026667001</v>
          </cell>
          <cell r="D88">
            <v>12583608.836666999</v>
          </cell>
          <cell r="E88">
            <v>1611054</v>
          </cell>
          <cell r="F88">
            <v>471867.19</v>
          </cell>
          <cell r="G88">
            <v>0</v>
          </cell>
          <cell r="H88">
            <v>0</v>
          </cell>
          <cell r="I88">
            <v>0</v>
          </cell>
          <cell r="J88">
            <v>112569</v>
          </cell>
          <cell r="K88">
            <v>427087.38</v>
          </cell>
        </row>
        <row r="89">
          <cell r="B89">
            <v>456</v>
          </cell>
          <cell r="C89">
            <v>8596405.9433300011</v>
          </cell>
          <cell r="D89">
            <v>8212194.4433300002</v>
          </cell>
          <cell r="E89">
            <v>0</v>
          </cell>
          <cell r="F89">
            <v>0</v>
          </cell>
          <cell r="G89">
            <v>17375</v>
          </cell>
          <cell r="H89">
            <v>0</v>
          </cell>
          <cell r="I89">
            <v>0</v>
          </cell>
          <cell r="J89">
            <v>366836.5</v>
          </cell>
          <cell r="K89">
            <v>408869.2</v>
          </cell>
        </row>
        <row r="90">
          <cell r="B90">
            <v>305</v>
          </cell>
          <cell r="C90">
            <v>3305692.0533330003</v>
          </cell>
          <cell r="D90">
            <v>3234756.5533330003</v>
          </cell>
          <cell r="E90">
            <v>10126</v>
          </cell>
          <cell r="F90">
            <v>0</v>
          </cell>
          <cell r="G90">
            <v>4525</v>
          </cell>
          <cell r="H90">
            <v>0</v>
          </cell>
          <cell r="I90">
            <v>0</v>
          </cell>
          <cell r="J90">
            <v>56284.5</v>
          </cell>
          <cell r="K90">
            <v>23877</v>
          </cell>
        </row>
        <row r="91">
          <cell r="B91">
            <v>307</v>
          </cell>
          <cell r="C91">
            <v>5417299.1160061043</v>
          </cell>
          <cell r="D91">
            <v>4233495.7060061051</v>
          </cell>
          <cell r="E91">
            <v>536681.51</v>
          </cell>
          <cell r="F91">
            <v>117439.90000000001</v>
          </cell>
          <cell r="G91">
            <v>0</v>
          </cell>
          <cell r="H91">
            <v>37400</v>
          </cell>
          <cell r="I91">
            <v>0</v>
          </cell>
          <cell r="J91">
            <v>492282</v>
          </cell>
          <cell r="K91">
            <v>227630.76</v>
          </cell>
        </row>
        <row r="92">
          <cell r="B92">
            <v>409</v>
          </cell>
          <cell r="C92">
            <v>8864805.4866700005</v>
          </cell>
          <cell r="D92">
            <v>8342319.4866700005</v>
          </cell>
          <cell r="E92">
            <v>394917</v>
          </cell>
          <cell r="F92">
            <v>0</v>
          </cell>
          <cell r="G92">
            <v>15000</v>
          </cell>
          <cell r="H92">
            <v>0</v>
          </cell>
          <cell r="I92">
            <v>0</v>
          </cell>
          <cell r="J92">
            <v>112569</v>
          </cell>
          <cell r="K92">
            <v>103443.92</v>
          </cell>
        </row>
        <row r="93">
          <cell r="B93">
            <v>466</v>
          </cell>
          <cell r="C93">
            <v>6724543.9421347799</v>
          </cell>
          <cell r="D93">
            <v>6200926.9421347799</v>
          </cell>
          <cell r="E93">
            <v>283479</v>
          </cell>
          <cell r="F93">
            <v>0</v>
          </cell>
          <cell r="G93">
            <v>15000</v>
          </cell>
          <cell r="H93">
            <v>0</v>
          </cell>
          <cell r="I93">
            <v>0</v>
          </cell>
          <cell r="J93">
            <v>225138</v>
          </cell>
          <cell r="K93">
            <v>74853.009999999995</v>
          </cell>
        </row>
        <row r="94">
          <cell r="B94">
            <v>943</v>
          </cell>
          <cell r="C94">
            <v>5491695.7890704423</v>
          </cell>
          <cell r="D94">
            <v>5390468.7890704423</v>
          </cell>
          <cell r="E94">
            <v>70883</v>
          </cell>
          <cell r="F94">
            <v>0</v>
          </cell>
          <cell r="G94">
            <v>7775</v>
          </cell>
          <cell r="H94">
            <v>0</v>
          </cell>
          <cell r="I94">
            <v>0</v>
          </cell>
          <cell r="J94">
            <v>22569</v>
          </cell>
          <cell r="K94">
            <v>40287.71</v>
          </cell>
        </row>
        <row r="95">
          <cell r="B95">
            <v>309</v>
          </cell>
          <cell r="C95">
            <v>7167848.0533300005</v>
          </cell>
          <cell r="D95">
            <v>6469701.5533300005</v>
          </cell>
          <cell r="E95">
            <v>379728</v>
          </cell>
          <cell r="F95">
            <v>165049.5</v>
          </cell>
          <cell r="G95">
            <v>0</v>
          </cell>
          <cell r="H95">
            <v>40800</v>
          </cell>
          <cell r="I95">
            <v>0</v>
          </cell>
          <cell r="J95">
            <v>112569</v>
          </cell>
          <cell r="K95">
            <v>128741.58</v>
          </cell>
        </row>
        <row r="96">
          <cell r="B96">
            <v>313</v>
          </cell>
          <cell r="C96">
            <v>4867145.2</v>
          </cell>
          <cell r="D96">
            <v>4668052.66</v>
          </cell>
          <cell r="E96">
            <v>113918.54000000001</v>
          </cell>
          <cell r="F96">
            <v>0</v>
          </cell>
          <cell r="G96">
            <v>9150</v>
          </cell>
          <cell r="H96">
            <v>0</v>
          </cell>
          <cell r="I96">
            <v>0</v>
          </cell>
          <cell r="J96">
            <v>76024</v>
          </cell>
          <cell r="K96">
            <v>39110.400000000001</v>
          </cell>
        </row>
        <row r="97">
          <cell r="B97">
            <v>315</v>
          </cell>
          <cell r="C97">
            <v>5015007.01</v>
          </cell>
          <cell r="D97">
            <v>4095396.5799999996</v>
          </cell>
          <cell r="E97">
            <v>432889.57</v>
          </cell>
          <cell r="F97">
            <v>107007.85999999999</v>
          </cell>
          <cell r="G97">
            <v>0</v>
          </cell>
          <cell r="H97">
            <v>0</v>
          </cell>
          <cell r="I97">
            <v>0</v>
          </cell>
          <cell r="J97">
            <v>379713</v>
          </cell>
          <cell r="K97">
            <v>124987.78</v>
          </cell>
        </row>
        <row r="98">
          <cell r="B98">
            <v>322</v>
          </cell>
          <cell r="C98">
            <v>5281450.79</v>
          </cell>
          <cell r="D98">
            <v>4506995</v>
          </cell>
          <cell r="E98">
            <v>448078.08999999997</v>
          </cell>
          <cell r="F98">
            <v>106102.7</v>
          </cell>
          <cell r="G98">
            <v>0</v>
          </cell>
          <cell r="H98">
            <v>37400</v>
          </cell>
          <cell r="I98">
            <v>0</v>
          </cell>
          <cell r="J98">
            <v>182875</v>
          </cell>
          <cell r="K98">
            <v>160553.46</v>
          </cell>
        </row>
        <row r="99">
          <cell r="B99">
            <v>427</v>
          </cell>
          <cell r="C99">
            <v>5834582.0533299996</v>
          </cell>
          <cell r="D99">
            <v>4977990.4533299999</v>
          </cell>
          <cell r="E99">
            <v>506304</v>
          </cell>
          <cell r="F99">
            <v>125149.6</v>
          </cell>
          <cell r="G99">
            <v>0</v>
          </cell>
          <cell r="H99">
            <v>0</v>
          </cell>
          <cell r="I99">
            <v>0</v>
          </cell>
          <cell r="J99">
            <v>225138</v>
          </cell>
          <cell r="K99">
            <v>128011.26</v>
          </cell>
        </row>
        <row r="100">
          <cell r="B100">
            <v>319</v>
          </cell>
          <cell r="C100">
            <v>7171223.3671347797</v>
          </cell>
          <cell r="D100">
            <v>5591800.5771347797</v>
          </cell>
          <cell r="E100">
            <v>893625.19500000007</v>
          </cell>
          <cell r="F100">
            <v>283490.59500000003</v>
          </cell>
          <cell r="G100">
            <v>0</v>
          </cell>
          <cell r="H100">
            <v>64600</v>
          </cell>
          <cell r="I100">
            <v>0</v>
          </cell>
          <cell r="J100">
            <v>337707</v>
          </cell>
          <cell r="K100">
            <v>270080.59000000003</v>
          </cell>
        </row>
        <row r="101">
          <cell r="B101">
            <v>321</v>
          </cell>
          <cell r="C101">
            <v>6071324.6066699997</v>
          </cell>
          <cell r="D101">
            <v>5916187.6066699997</v>
          </cell>
          <cell r="E101">
            <v>106324</v>
          </cell>
          <cell r="F101">
            <v>0</v>
          </cell>
          <cell r="G101">
            <v>11325</v>
          </cell>
          <cell r="H101">
            <v>0</v>
          </cell>
          <cell r="I101">
            <v>0</v>
          </cell>
          <cell r="J101">
            <v>37488</v>
          </cell>
          <cell r="K101">
            <v>65586.710000000006</v>
          </cell>
        </row>
        <row r="102">
          <cell r="B102">
            <v>428</v>
          </cell>
          <cell r="C102">
            <v>6965871.2118591163</v>
          </cell>
          <cell r="D102">
            <v>6385293.7418591166</v>
          </cell>
          <cell r="E102">
            <v>430358.5</v>
          </cell>
          <cell r="F102">
            <v>92153.97</v>
          </cell>
          <cell r="G102">
            <v>0</v>
          </cell>
          <cell r="H102">
            <v>0</v>
          </cell>
          <cell r="I102">
            <v>0</v>
          </cell>
          <cell r="J102">
            <v>58065</v>
          </cell>
          <cell r="K102">
            <v>128750.27</v>
          </cell>
        </row>
        <row r="103">
          <cell r="B103">
            <v>324</v>
          </cell>
          <cell r="C103">
            <v>8996887.4433299992</v>
          </cell>
          <cell r="D103">
            <v>7921902.0833299998</v>
          </cell>
          <cell r="E103">
            <v>430358</v>
          </cell>
          <cell r="F103">
            <v>191803.36000000002</v>
          </cell>
          <cell r="G103">
            <v>0</v>
          </cell>
          <cell r="H103">
            <v>74800</v>
          </cell>
          <cell r="I103">
            <v>0</v>
          </cell>
          <cell r="J103">
            <v>378024</v>
          </cell>
          <cell r="K103">
            <v>113972.82</v>
          </cell>
        </row>
        <row r="104">
          <cell r="B104">
            <v>1142</v>
          </cell>
          <cell r="C104">
            <v>2948140.7109295577</v>
          </cell>
          <cell r="D104">
            <v>2879782.8609295576</v>
          </cell>
          <cell r="E104">
            <v>40504</v>
          </cell>
          <cell r="F104">
            <v>4053.85</v>
          </cell>
          <cell r="G104">
            <v>0</v>
          </cell>
          <cell r="H104">
            <v>23800</v>
          </cell>
          <cell r="I104">
            <v>0</v>
          </cell>
          <cell r="J104">
            <v>0</v>
          </cell>
          <cell r="K104">
            <v>34161</v>
          </cell>
        </row>
        <row r="105">
          <cell r="B105">
            <v>325</v>
          </cell>
          <cell r="C105">
            <v>5815315.8169386629</v>
          </cell>
          <cell r="D105">
            <v>4691530.0019386634</v>
          </cell>
          <cell r="E105">
            <v>660724.93999999994</v>
          </cell>
          <cell r="F105">
            <v>250842.875</v>
          </cell>
          <cell r="G105">
            <v>0</v>
          </cell>
          <cell r="H105">
            <v>44200</v>
          </cell>
          <cell r="I105">
            <v>0</v>
          </cell>
          <cell r="J105">
            <v>168018</v>
          </cell>
          <cell r="K105">
            <v>241621.21</v>
          </cell>
        </row>
        <row r="106">
          <cell r="B106">
            <v>326</v>
          </cell>
          <cell r="C106">
            <v>5749927.74333</v>
          </cell>
          <cell r="D106">
            <v>4958886.2733300002</v>
          </cell>
          <cell r="E106">
            <v>331629</v>
          </cell>
          <cell r="F106">
            <v>136028.46999999997</v>
          </cell>
          <cell r="G106">
            <v>0</v>
          </cell>
          <cell r="H106">
            <v>71400</v>
          </cell>
          <cell r="I106">
            <v>0</v>
          </cell>
          <cell r="J106">
            <v>251984</v>
          </cell>
          <cell r="K106">
            <v>127283.02</v>
          </cell>
        </row>
        <row r="107">
          <cell r="B107">
            <v>327</v>
          </cell>
          <cell r="C107">
            <v>10022722.063332999</v>
          </cell>
          <cell r="D107">
            <v>8537803.2133329995</v>
          </cell>
          <cell r="E107">
            <v>772114.1</v>
          </cell>
          <cell r="F107">
            <v>221729.75</v>
          </cell>
          <cell r="G107">
            <v>0</v>
          </cell>
          <cell r="H107">
            <v>64600</v>
          </cell>
          <cell r="I107">
            <v>0</v>
          </cell>
          <cell r="J107">
            <v>426475</v>
          </cell>
          <cell r="K107">
            <v>279778.52</v>
          </cell>
        </row>
        <row r="108">
          <cell r="B108">
            <v>328</v>
          </cell>
          <cell r="C108">
            <v>10133836.35</v>
          </cell>
          <cell r="D108">
            <v>8795316.629999999</v>
          </cell>
          <cell r="E108">
            <v>744266.66</v>
          </cell>
          <cell r="F108">
            <v>248934.06</v>
          </cell>
          <cell r="G108">
            <v>0</v>
          </cell>
          <cell r="H108">
            <v>0</v>
          </cell>
          <cell r="I108">
            <v>0</v>
          </cell>
          <cell r="J108">
            <v>345319</v>
          </cell>
          <cell r="K108">
            <v>147699.26999999999</v>
          </cell>
        </row>
        <row r="109">
          <cell r="B109">
            <v>329</v>
          </cell>
          <cell r="C109">
            <v>7589907.857134779</v>
          </cell>
          <cell r="D109">
            <v>5927328.9721347801</v>
          </cell>
          <cell r="E109">
            <v>977165.85499999998</v>
          </cell>
          <cell r="F109">
            <v>221730.03</v>
          </cell>
          <cell r="G109">
            <v>0</v>
          </cell>
          <cell r="H109">
            <v>51000</v>
          </cell>
          <cell r="I109">
            <v>0</v>
          </cell>
          <cell r="J109">
            <v>412683</v>
          </cell>
          <cell r="K109">
            <v>312119.38</v>
          </cell>
        </row>
        <row r="110">
          <cell r="B110">
            <v>330</v>
          </cell>
          <cell r="C110">
            <v>8227991.4100000001</v>
          </cell>
          <cell r="D110">
            <v>7250070.6200000001</v>
          </cell>
          <cell r="E110">
            <v>531619</v>
          </cell>
          <cell r="F110">
            <v>248027.79</v>
          </cell>
          <cell r="G110">
            <v>0</v>
          </cell>
          <cell r="H110">
            <v>37400</v>
          </cell>
          <cell r="I110">
            <v>0</v>
          </cell>
          <cell r="J110">
            <v>160874</v>
          </cell>
          <cell r="K110">
            <v>148342.76999999999</v>
          </cell>
        </row>
        <row r="111">
          <cell r="B111">
            <v>331</v>
          </cell>
          <cell r="C111">
            <v>5291148.6109295581</v>
          </cell>
          <cell r="D111">
            <v>4656739.3509295583</v>
          </cell>
          <cell r="E111">
            <v>278467</v>
          </cell>
          <cell r="F111">
            <v>65676.259999999995</v>
          </cell>
          <cell r="G111">
            <v>0</v>
          </cell>
          <cell r="H111">
            <v>0</v>
          </cell>
          <cell r="I111">
            <v>0</v>
          </cell>
          <cell r="J111">
            <v>290266</v>
          </cell>
          <cell r="K111">
            <v>111613.59</v>
          </cell>
        </row>
        <row r="112">
          <cell r="B112">
            <v>332</v>
          </cell>
          <cell r="C112">
            <v>7395678.21667</v>
          </cell>
          <cell r="D112">
            <v>6196433.42667</v>
          </cell>
          <cell r="E112">
            <v>741734.91999999993</v>
          </cell>
          <cell r="F112">
            <v>181371.87</v>
          </cell>
          <cell r="G112">
            <v>0</v>
          </cell>
          <cell r="H112">
            <v>51000</v>
          </cell>
          <cell r="I112">
            <v>0</v>
          </cell>
          <cell r="J112">
            <v>225138</v>
          </cell>
          <cell r="K112">
            <v>212734.14</v>
          </cell>
        </row>
        <row r="113">
          <cell r="B113">
            <v>333</v>
          </cell>
          <cell r="C113">
            <v>5084304.4714738838</v>
          </cell>
          <cell r="D113">
            <v>4703260.7914738841</v>
          </cell>
          <cell r="E113">
            <v>313908.68</v>
          </cell>
          <cell r="F113">
            <v>0</v>
          </cell>
          <cell r="G113">
            <v>10850</v>
          </cell>
          <cell r="H113">
            <v>0</v>
          </cell>
          <cell r="I113">
            <v>0</v>
          </cell>
          <cell r="J113">
            <v>56285</v>
          </cell>
          <cell r="K113">
            <v>135082.14000000001</v>
          </cell>
        </row>
        <row r="114">
          <cell r="B114">
            <v>336</v>
          </cell>
          <cell r="C114">
            <v>6252752.9983300008</v>
          </cell>
          <cell r="D114">
            <v>5438938.69833</v>
          </cell>
          <cell r="E114">
            <v>397449</v>
          </cell>
          <cell r="F114">
            <v>165958.29999999999</v>
          </cell>
          <cell r="G114">
            <v>0</v>
          </cell>
          <cell r="H114">
            <v>51000</v>
          </cell>
          <cell r="I114">
            <v>0</v>
          </cell>
          <cell r="J114">
            <v>199407</v>
          </cell>
          <cell r="K114">
            <v>151273.14000000001</v>
          </cell>
        </row>
        <row r="115">
          <cell r="B115">
            <v>335</v>
          </cell>
          <cell r="C115">
            <v>7073291.7249999996</v>
          </cell>
          <cell r="D115">
            <v>6105737.8149999995</v>
          </cell>
          <cell r="E115">
            <v>559465</v>
          </cell>
          <cell r="F115">
            <v>145550.91</v>
          </cell>
          <cell r="G115">
            <v>0</v>
          </cell>
          <cell r="H115">
            <v>37400</v>
          </cell>
          <cell r="I115">
            <v>0</v>
          </cell>
          <cell r="J115">
            <v>225138</v>
          </cell>
          <cell r="K115">
            <v>184030.85</v>
          </cell>
        </row>
        <row r="116">
          <cell r="B116">
            <v>338</v>
          </cell>
          <cell r="C116">
            <v>7406853.71</v>
          </cell>
          <cell r="D116">
            <v>6490961.3499999996</v>
          </cell>
          <cell r="E116">
            <v>435421</v>
          </cell>
          <cell r="F116">
            <v>97810.36</v>
          </cell>
          <cell r="G116">
            <v>0</v>
          </cell>
          <cell r="H116">
            <v>51000</v>
          </cell>
          <cell r="I116">
            <v>0</v>
          </cell>
          <cell r="J116">
            <v>331661</v>
          </cell>
          <cell r="K116">
            <v>143150.71</v>
          </cell>
        </row>
        <row r="117">
          <cell r="B117">
            <v>463</v>
          </cell>
          <cell r="C117">
            <v>22545214.854999997</v>
          </cell>
          <cell r="D117">
            <v>20945723.855</v>
          </cell>
          <cell r="E117">
            <v>1310736</v>
          </cell>
          <cell r="F117">
            <v>0</v>
          </cell>
          <cell r="G117">
            <v>50250</v>
          </cell>
          <cell r="H117">
            <v>0</v>
          </cell>
          <cell r="I117">
            <v>24884</v>
          </cell>
          <cell r="J117">
            <v>213621</v>
          </cell>
          <cell r="K117">
            <v>210982.97</v>
          </cell>
        </row>
        <row r="118">
          <cell r="B118">
            <v>464</v>
          </cell>
          <cell r="C118">
            <v>11470806.945929557</v>
          </cell>
          <cell r="D118">
            <v>9938170.3859295584</v>
          </cell>
          <cell r="E118">
            <v>962703</v>
          </cell>
          <cell r="F118">
            <v>438999.85</v>
          </cell>
          <cell r="G118">
            <v>0</v>
          </cell>
          <cell r="H118">
            <v>0</v>
          </cell>
          <cell r="I118">
            <v>74648.709999999992</v>
          </cell>
          <cell r="J118">
            <v>56285</v>
          </cell>
          <cell r="K118">
            <v>228622.26</v>
          </cell>
        </row>
        <row r="119">
          <cell r="C119">
            <v>869332486.22927737</v>
          </cell>
          <cell r="D119">
            <v>767339859.79177725</v>
          </cell>
          <cell r="E119">
            <v>60242262.339999996</v>
          </cell>
          <cell r="F119">
            <v>17676453.887499999</v>
          </cell>
          <cell r="G119">
            <v>394450</v>
          </cell>
          <cell r="H119">
            <v>2628200</v>
          </cell>
          <cell r="I119">
            <v>290395.91000000003</v>
          </cell>
          <cell r="J119">
            <v>20760864.300000001</v>
          </cell>
          <cell r="K119">
            <v>18653671.65000001</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9FC83-A212-4416-A567-AA3E461F6228}">
  <dimension ref="A1:EI126"/>
  <sheetViews>
    <sheetView tabSelected="1" workbookViewId="0">
      <pane xSplit="5" ySplit="5" topLeftCell="BX6" activePane="bottomRight" state="frozen"/>
      <selection pane="topRight" activeCell="F1" sqref="F1"/>
      <selection pane="bottomLeft" activeCell="A6" sqref="A6"/>
      <selection pane="bottomRight" activeCell="D6" sqref="D6"/>
    </sheetView>
  </sheetViews>
  <sheetFormatPr defaultRowHeight="12.75" x14ac:dyDescent="0.2"/>
  <cols>
    <col min="1" max="1" width="9.1640625" customWidth="1"/>
    <col min="2" max="2" width="26" customWidth="1"/>
    <col min="3" max="3" width="6.6640625" customWidth="1"/>
    <col min="4" max="4" width="7.1640625" customWidth="1"/>
    <col min="5" max="8" width="9.5" customWidth="1"/>
    <col min="9" max="9" width="8.33203125" customWidth="1"/>
    <col min="10" max="10" width="8.6640625" customWidth="1"/>
    <col min="11" max="13" width="14.6640625" customWidth="1"/>
    <col min="14" max="14" width="12" customWidth="1"/>
    <col min="15" max="15" width="14.6640625" customWidth="1"/>
    <col min="16" max="16" width="12.33203125" customWidth="1"/>
    <col min="17" max="17" width="14.6640625" customWidth="1"/>
    <col min="18" max="18" width="14" customWidth="1"/>
    <col min="19" max="23" width="14.6640625" customWidth="1"/>
    <col min="24" max="24" width="13.1640625" customWidth="1"/>
    <col min="25" max="25" width="12.5" customWidth="1"/>
    <col min="26" max="27" width="11.33203125" customWidth="1"/>
    <col min="28" max="28" width="11.5" customWidth="1"/>
    <col min="29" max="29" width="12.5" customWidth="1"/>
    <col min="30" max="42" width="14.6640625" customWidth="1"/>
    <col min="43" max="43" width="12.5" customWidth="1"/>
    <col min="44" max="47" width="14.6640625" customWidth="1"/>
    <col min="48" max="48" width="13" customWidth="1"/>
    <col min="49" max="49" width="12.6640625" customWidth="1"/>
    <col min="50" max="50" width="11" customWidth="1"/>
    <col min="51" max="87" width="14.6640625" customWidth="1"/>
    <col min="88" max="88" width="13.6640625" customWidth="1"/>
    <col min="89" max="90" width="14.6640625" customWidth="1"/>
    <col min="91" max="91" width="12.1640625" customWidth="1"/>
    <col min="92" max="92" width="13.5" customWidth="1"/>
    <col min="93" max="93" width="12" customWidth="1"/>
    <col min="94" max="94" width="14.6640625" customWidth="1"/>
    <col min="95" max="97" width="14.6640625" style="28" customWidth="1"/>
    <col min="98" max="98" width="12.6640625" customWidth="1"/>
    <col min="99" max="114" width="14.6640625" customWidth="1"/>
    <col min="117" max="118" width="14.6640625" customWidth="1"/>
    <col min="121" max="133" width="14.6640625" customWidth="1"/>
    <col min="138" max="139" width="14.6640625" customWidth="1"/>
  </cols>
  <sheetData>
    <row r="1" spans="1:139" x14ac:dyDescent="0.2">
      <c r="A1" s="3"/>
      <c r="B1" s="2"/>
      <c r="E1" s="1"/>
      <c r="F1" s="1"/>
      <c r="G1" s="1"/>
      <c r="H1" s="1"/>
      <c r="K1" t="s">
        <v>247</v>
      </c>
      <c r="L1" t="s">
        <v>247</v>
      </c>
      <c r="M1" t="s">
        <v>247</v>
      </c>
      <c r="N1" t="s">
        <v>248</v>
      </c>
      <c r="O1" t="s">
        <v>248</v>
      </c>
      <c r="P1" t="s">
        <v>247</v>
      </c>
      <c r="Q1" t="s">
        <v>247</v>
      </c>
      <c r="R1" t="s">
        <v>247</v>
      </c>
      <c r="S1" t="s">
        <v>247</v>
      </c>
      <c r="T1" t="s">
        <v>247</v>
      </c>
      <c r="U1" t="s">
        <v>247</v>
      </c>
      <c r="V1" t="s">
        <v>247</v>
      </c>
      <c r="W1" t="s">
        <v>247</v>
      </c>
      <c r="X1" t="s">
        <v>250</v>
      </c>
      <c r="Y1" t="s">
        <v>250</v>
      </c>
      <c r="Z1" t="s">
        <v>250</v>
      </c>
      <c r="AA1" t="s">
        <v>250</v>
      </c>
      <c r="AB1" t="s">
        <v>248</v>
      </c>
      <c r="AD1" t="s">
        <v>248</v>
      </c>
      <c r="AE1" t="s">
        <v>248</v>
      </c>
      <c r="AF1" t="s">
        <v>250</v>
      </c>
      <c r="AG1" t="s">
        <v>248</v>
      </c>
      <c r="AH1" t="s">
        <v>247</v>
      </c>
      <c r="AI1" t="s">
        <v>247</v>
      </c>
      <c r="AJ1" t="s">
        <v>247</v>
      </c>
      <c r="AK1" t="s">
        <v>247</v>
      </c>
      <c r="AL1" t="s">
        <v>256</v>
      </c>
      <c r="AN1" t="s">
        <v>247</v>
      </c>
      <c r="AO1" t="s">
        <v>247</v>
      </c>
      <c r="AP1" t="s">
        <v>250</v>
      </c>
      <c r="AQ1" t="s">
        <v>250</v>
      </c>
      <c r="AR1" t="s">
        <v>247</v>
      </c>
      <c r="AS1" t="s">
        <v>247</v>
      </c>
      <c r="AT1" t="s">
        <v>247</v>
      </c>
      <c r="AU1" t="s">
        <v>257</v>
      </c>
      <c r="AV1" t="s">
        <v>248</v>
      </c>
      <c r="AW1" t="s">
        <v>248</v>
      </c>
      <c r="AX1" t="s">
        <v>248</v>
      </c>
      <c r="AY1" t="s">
        <v>248</v>
      </c>
      <c r="AZ1" t="s">
        <v>248</v>
      </c>
      <c r="BC1" t="s">
        <v>260</v>
      </c>
      <c r="BD1" t="s">
        <v>260</v>
      </c>
      <c r="BE1" t="s">
        <v>260</v>
      </c>
      <c r="BF1" t="s">
        <v>260</v>
      </c>
      <c r="BG1" t="s">
        <v>260</v>
      </c>
      <c r="BH1" t="s">
        <v>260</v>
      </c>
      <c r="BI1" t="s">
        <v>260</v>
      </c>
      <c r="BJ1" t="s">
        <v>260</v>
      </c>
      <c r="BK1" t="s">
        <v>248</v>
      </c>
      <c r="BL1" t="s">
        <v>248</v>
      </c>
      <c r="BM1" t="s">
        <v>248</v>
      </c>
      <c r="BN1" t="s">
        <v>248</v>
      </c>
      <c r="BO1" t="s">
        <v>248</v>
      </c>
      <c r="BP1" t="s">
        <v>248</v>
      </c>
      <c r="BQ1" t="s">
        <v>248</v>
      </c>
      <c r="BR1" t="s">
        <v>248</v>
      </c>
      <c r="BS1" t="s">
        <v>248</v>
      </c>
      <c r="BT1" t="s">
        <v>248</v>
      </c>
      <c r="BU1" t="s">
        <v>248</v>
      </c>
      <c r="BV1" t="s">
        <v>248</v>
      </c>
      <c r="BW1" t="s">
        <v>248</v>
      </c>
      <c r="BX1" t="s">
        <v>248</v>
      </c>
      <c r="BY1" t="s">
        <v>248</v>
      </c>
      <c r="BZ1" t="s">
        <v>248</v>
      </c>
      <c r="CA1" t="s">
        <v>248</v>
      </c>
      <c r="CB1" t="s">
        <v>250</v>
      </c>
      <c r="CC1" t="s">
        <v>249</v>
      </c>
      <c r="CD1" t="s">
        <v>249</v>
      </c>
      <c r="CE1" t="s">
        <v>249</v>
      </c>
      <c r="CF1" t="s">
        <v>249</v>
      </c>
      <c r="CG1" t="s">
        <v>249</v>
      </c>
      <c r="CH1" t="s">
        <v>249</v>
      </c>
      <c r="CI1" t="s">
        <v>249</v>
      </c>
      <c r="DH1" t="s">
        <v>250</v>
      </c>
      <c r="DM1" t="s">
        <v>257</v>
      </c>
      <c r="DN1" t="s">
        <v>257</v>
      </c>
      <c r="DQ1" t="s">
        <v>259</v>
      </c>
      <c r="DR1" t="s">
        <v>259</v>
      </c>
      <c r="DS1" t="s">
        <v>259</v>
      </c>
      <c r="DT1" t="s">
        <v>259</v>
      </c>
      <c r="DU1" t="s">
        <v>259</v>
      </c>
      <c r="DV1" t="s">
        <v>258</v>
      </c>
      <c r="DW1" t="s">
        <v>258</v>
      </c>
      <c r="DX1" t="s">
        <v>250</v>
      </c>
      <c r="DY1" t="s">
        <v>258</v>
      </c>
      <c r="DZ1" t="s">
        <v>258</v>
      </c>
      <c r="EC1" t="s">
        <v>258</v>
      </c>
    </row>
    <row r="2" spans="1:139" x14ac:dyDescent="0.2">
      <c r="A2" s="3"/>
      <c r="B2" s="2"/>
      <c r="E2" s="1"/>
      <c r="F2" s="1"/>
      <c r="G2" s="1"/>
      <c r="H2" s="1"/>
      <c r="K2" t="s">
        <v>127</v>
      </c>
      <c r="L2" t="s">
        <v>126</v>
      </c>
      <c r="M2" t="s">
        <v>126</v>
      </c>
      <c r="N2" t="s">
        <v>125</v>
      </c>
      <c r="O2" t="s">
        <v>126</v>
      </c>
      <c r="P2" t="s">
        <v>126</v>
      </c>
      <c r="Q2" t="s">
        <v>126</v>
      </c>
      <c r="R2" t="s">
        <v>126</v>
      </c>
      <c r="S2" t="s">
        <v>127</v>
      </c>
      <c r="T2" t="s">
        <v>126</v>
      </c>
      <c r="U2" t="s">
        <v>126</v>
      </c>
      <c r="V2" t="s">
        <v>126</v>
      </c>
      <c r="W2" t="s">
        <v>126</v>
      </c>
      <c r="X2" t="s">
        <v>125</v>
      </c>
      <c r="Y2" t="s">
        <v>125</v>
      </c>
      <c r="Z2" t="s">
        <v>125</v>
      </c>
      <c r="AA2" t="s">
        <v>125</v>
      </c>
      <c r="AB2" t="s">
        <v>126</v>
      </c>
      <c r="AD2" t="s">
        <v>127</v>
      </c>
      <c r="AE2" t="s">
        <v>127</v>
      </c>
      <c r="AF2" t="s">
        <v>125</v>
      </c>
      <c r="AG2" t="s">
        <v>125</v>
      </c>
      <c r="AH2" t="s">
        <v>126</v>
      </c>
      <c r="AI2" t="s">
        <v>126</v>
      </c>
      <c r="AJ2" t="s">
        <v>126</v>
      </c>
      <c r="AK2" t="s">
        <v>127</v>
      </c>
      <c r="AL2" t="s">
        <v>126</v>
      </c>
      <c r="AN2" t="s">
        <v>126</v>
      </c>
      <c r="AO2" t="s">
        <v>126</v>
      </c>
      <c r="AP2" t="s">
        <v>127</v>
      </c>
      <c r="AQ2" t="s">
        <v>127</v>
      </c>
      <c r="AR2" t="s">
        <v>126</v>
      </c>
      <c r="AS2" t="s">
        <v>127</v>
      </c>
      <c r="AT2" t="s">
        <v>126</v>
      </c>
      <c r="AU2" t="s">
        <v>127</v>
      </c>
      <c r="AV2" t="s">
        <v>126</v>
      </c>
      <c r="AW2" t="s">
        <v>126</v>
      </c>
      <c r="AX2" t="s">
        <v>126</v>
      </c>
      <c r="AY2" t="s">
        <v>254</v>
      </c>
      <c r="BC2" t="s">
        <v>252</v>
      </c>
      <c r="BE2" t="s">
        <v>127</v>
      </c>
      <c r="BF2" t="s">
        <v>127</v>
      </c>
      <c r="BG2" t="s">
        <v>127</v>
      </c>
      <c r="BH2" t="s">
        <v>127</v>
      </c>
      <c r="BJ2" t="s">
        <v>127</v>
      </c>
      <c r="BK2" t="s">
        <v>127</v>
      </c>
      <c r="BL2" t="s">
        <v>127</v>
      </c>
      <c r="BM2" t="s">
        <v>126</v>
      </c>
      <c r="BN2" t="s">
        <v>126</v>
      </c>
      <c r="BO2" t="s">
        <v>127</v>
      </c>
      <c r="BP2" t="s">
        <v>126</v>
      </c>
      <c r="BQ2" t="s">
        <v>127</v>
      </c>
      <c r="BR2" t="s">
        <v>127</v>
      </c>
      <c r="BS2" t="s">
        <v>127</v>
      </c>
      <c r="BT2" t="s">
        <v>127</v>
      </c>
      <c r="BU2" t="s">
        <v>127</v>
      </c>
      <c r="BV2" t="s">
        <v>125</v>
      </c>
      <c r="BW2" t="s">
        <v>126</v>
      </c>
      <c r="BX2" t="s">
        <v>126</v>
      </c>
      <c r="BY2" t="s">
        <v>127</v>
      </c>
      <c r="BZ2" t="s">
        <v>127</v>
      </c>
      <c r="CA2" t="s">
        <v>125</v>
      </c>
      <c r="CB2" t="s">
        <v>125</v>
      </c>
      <c r="CC2" t="s">
        <v>125</v>
      </c>
      <c r="CD2" t="s">
        <v>125</v>
      </c>
      <c r="CE2" t="s">
        <v>125</v>
      </c>
      <c r="CF2" t="s">
        <v>125</v>
      </c>
      <c r="CG2" t="s">
        <v>125</v>
      </c>
      <c r="CH2" t="s">
        <v>125</v>
      </c>
      <c r="CI2" t="s">
        <v>125</v>
      </c>
      <c r="DH2" t="s">
        <v>125</v>
      </c>
      <c r="DM2" t="s">
        <v>127</v>
      </c>
      <c r="DN2" t="s">
        <v>127</v>
      </c>
      <c r="DV2" t="s">
        <v>125</v>
      </c>
      <c r="DW2" t="s">
        <v>125</v>
      </c>
      <c r="DX2" t="s">
        <v>125</v>
      </c>
      <c r="DY2" t="s">
        <v>125</v>
      </c>
      <c r="DZ2" t="s">
        <v>125</v>
      </c>
      <c r="EC2" t="s">
        <v>125</v>
      </c>
    </row>
    <row r="3" spans="1:139" ht="63.75" x14ac:dyDescent="0.2">
      <c r="A3" s="24" t="s">
        <v>237</v>
      </c>
      <c r="B3" s="24" t="s">
        <v>236</v>
      </c>
      <c r="C3" s="17" t="s">
        <v>235</v>
      </c>
      <c r="D3" s="17" t="s">
        <v>234</v>
      </c>
      <c r="E3" s="23" t="s">
        <v>238</v>
      </c>
      <c r="F3" s="17" t="s">
        <v>332</v>
      </c>
      <c r="G3" s="23" t="s">
        <v>333</v>
      </c>
      <c r="H3" s="23" t="s">
        <v>334</v>
      </c>
      <c r="I3" s="17" t="s">
        <v>239</v>
      </c>
      <c r="J3" s="17" t="s">
        <v>240</v>
      </c>
      <c r="K3" s="17" t="s">
        <v>230</v>
      </c>
      <c r="L3" s="17" t="s">
        <v>227</v>
      </c>
      <c r="M3" s="17" t="s">
        <v>226</v>
      </c>
      <c r="N3" s="17" t="s">
        <v>224</v>
      </c>
      <c r="O3" s="17" t="s">
        <v>157</v>
      </c>
      <c r="P3" s="17" t="s">
        <v>219</v>
      </c>
      <c r="Q3" s="17" t="s">
        <v>218</v>
      </c>
      <c r="R3" s="17" t="s">
        <v>217</v>
      </c>
      <c r="S3" s="17" t="s">
        <v>216</v>
      </c>
      <c r="T3" s="32" t="s">
        <v>213</v>
      </c>
      <c r="U3" s="32" t="s">
        <v>212</v>
      </c>
      <c r="V3" s="32" t="s">
        <v>211</v>
      </c>
      <c r="W3" s="32" t="s">
        <v>210</v>
      </c>
      <c r="X3" s="32" t="s">
        <v>285</v>
      </c>
      <c r="Y3" s="32" t="s">
        <v>286</v>
      </c>
      <c r="Z3" s="32" t="s">
        <v>287</v>
      </c>
      <c r="AA3" s="32" t="s">
        <v>288</v>
      </c>
      <c r="AB3" s="17" t="s">
        <v>253</v>
      </c>
      <c r="AC3" s="17" t="s">
        <v>289</v>
      </c>
      <c r="AD3" s="17" t="s">
        <v>179</v>
      </c>
      <c r="AE3" s="17" t="s">
        <v>178</v>
      </c>
      <c r="AF3" s="20" t="s">
        <v>290</v>
      </c>
      <c r="AG3" s="20" t="s">
        <v>284</v>
      </c>
      <c r="AH3" s="16" t="s">
        <v>206</v>
      </c>
      <c r="AI3" s="16" t="s">
        <v>205</v>
      </c>
      <c r="AJ3" s="16" t="s">
        <v>204</v>
      </c>
      <c r="AK3" s="16" t="s">
        <v>251</v>
      </c>
      <c r="AL3" s="16" t="s">
        <v>203</v>
      </c>
      <c r="AM3" s="16" t="s">
        <v>298</v>
      </c>
      <c r="AN3" s="16" t="s">
        <v>202</v>
      </c>
      <c r="AO3" s="16" t="s">
        <v>201</v>
      </c>
      <c r="AP3" s="16" t="s">
        <v>292</v>
      </c>
      <c r="AQ3" s="16" t="s">
        <v>293</v>
      </c>
      <c r="AR3" s="15" t="s">
        <v>200</v>
      </c>
      <c r="AS3" s="15" t="s">
        <v>199</v>
      </c>
      <c r="AT3" s="15" t="s">
        <v>198</v>
      </c>
      <c r="AU3" s="15" t="s">
        <v>294</v>
      </c>
      <c r="AV3" s="22" t="s">
        <v>195</v>
      </c>
      <c r="AW3" s="22" t="s">
        <v>194</v>
      </c>
      <c r="AX3" s="22" t="s">
        <v>193</v>
      </c>
      <c r="AY3" s="22" t="s">
        <v>136</v>
      </c>
      <c r="AZ3" s="12" t="s">
        <v>192</v>
      </c>
      <c r="BA3" s="12" t="s">
        <v>192</v>
      </c>
      <c r="BB3" s="12" t="s">
        <v>192</v>
      </c>
      <c r="BC3" s="12" t="s">
        <v>191</v>
      </c>
      <c r="BD3" s="12" t="s">
        <v>295</v>
      </c>
      <c r="BE3" s="12" t="s">
        <v>190</v>
      </c>
      <c r="BF3" s="21" t="s">
        <v>184</v>
      </c>
      <c r="BG3" s="21" t="s">
        <v>183</v>
      </c>
      <c r="BH3" s="21" t="s">
        <v>182</v>
      </c>
      <c r="BI3" s="21" t="s">
        <v>181</v>
      </c>
      <c r="BJ3" s="21" t="s">
        <v>180</v>
      </c>
      <c r="BK3" s="13" t="s">
        <v>188</v>
      </c>
      <c r="BL3" s="13" t="s">
        <v>153</v>
      </c>
      <c r="BM3" s="13" t="s">
        <v>161</v>
      </c>
      <c r="BN3" s="13" t="s">
        <v>296</v>
      </c>
      <c r="BO3" s="13" t="s">
        <v>160</v>
      </c>
      <c r="BP3" s="13" t="s">
        <v>242</v>
      </c>
      <c r="BQ3" s="13" t="s">
        <v>174</v>
      </c>
      <c r="BR3" s="13" t="s">
        <v>152</v>
      </c>
      <c r="BS3" s="13" t="s">
        <v>158</v>
      </c>
      <c r="BT3" s="13" t="s">
        <v>159</v>
      </c>
      <c r="BU3" s="13" t="s">
        <v>154</v>
      </c>
      <c r="BV3" s="13" t="s">
        <v>155</v>
      </c>
      <c r="BW3" s="13" t="s">
        <v>246</v>
      </c>
      <c r="BX3" s="21" t="s">
        <v>177</v>
      </c>
      <c r="BY3" s="21" t="s">
        <v>176</v>
      </c>
      <c r="BZ3" s="21" t="s">
        <v>175</v>
      </c>
      <c r="CA3" s="21" t="s">
        <v>144</v>
      </c>
      <c r="CB3" s="21" t="s">
        <v>255</v>
      </c>
      <c r="CC3" s="19" t="s">
        <v>244</v>
      </c>
      <c r="CD3" s="19" t="s">
        <v>245</v>
      </c>
      <c r="CE3" s="19" t="s">
        <v>297</v>
      </c>
      <c r="CF3" s="19" t="s">
        <v>149</v>
      </c>
      <c r="CG3" s="14" t="s">
        <v>156</v>
      </c>
      <c r="CH3" s="14" t="s">
        <v>148</v>
      </c>
      <c r="CI3" s="14" t="s">
        <v>147</v>
      </c>
      <c r="CJ3" s="11" t="s">
        <v>344</v>
      </c>
      <c r="CK3" s="42" t="s">
        <v>229</v>
      </c>
      <c r="CL3" s="42" t="s">
        <v>228</v>
      </c>
      <c r="CM3" s="42" t="s">
        <v>225</v>
      </c>
      <c r="CN3" s="42" t="s">
        <v>223</v>
      </c>
      <c r="CO3" s="42" t="s">
        <v>222</v>
      </c>
      <c r="CP3" s="42" t="s">
        <v>221</v>
      </c>
      <c r="CQ3" s="42" t="s">
        <v>354</v>
      </c>
      <c r="CR3" s="42" t="s">
        <v>355</v>
      </c>
      <c r="CS3" s="42" t="s">
        <v>356</v>
      </c>
      <c r="CT3" s="42" t="s">
        <v>209</v>
      </c>
      <c r="CU3" s="42" t="s">
        <v>208</v>
      </c>
      <c r="CV3" s="42" t="s">
        <v>366</v>
      </c>
      <c r="CW3" s="42" t="s">
        <v>168</v>
      </c>
      <c r="CX3" s="42" t="s">
        <v>173</v>
      </c>
      <c r="CY3" s="42" t="s">
        <v>171</v>
      </c>
      <c r="CZ3" s="42" t="s">
        <v>170</v>
      </c>
      <c r="DA3" s="42" t="s">
        <v>169</v>
      </c>
      <c r="DB3" s="17" t="s">
        <v>371</v>
      </c>
      <c r="DC3" s="17" t="s">
        <v>301</v>
      </c>
      <c r="DD3" t="s">
        <v>302</v>
      </c>
      <c r="DE3" s="17" t="s">
        <v>306</v>
      </c>
      <c r="DF3" s="17" t="s">
        <v>367</v>
      </c>
      <c r="DH3" s="13" t="s">
        <v>187</v>
      </c>
      <c r="DI3" s="12" t="s">
        <v>189</v>
      </c>
      <c r="DJ3" s="18" t="s">
        <v>167</v>
      </c>
      <c r="DK3" s="11"/>
      <c r="DM3" s="15" t="s">
        <v>197</v>
      </c>
      <c r="DN3" s="15" t="s">
        <v>196</v>
      </c>
      <c r="DQ3" s="21" t="s">
        <v>220</v>
      </c>
      <c r="DR3" s="21" t="s">
        <v>214</v>
      </c>
      <c r="DS3" s="21" t="s">
        <v>207</v>
      </c>
      <c r="DT3" s="21" t="s">
        <v>186</v>
      </c>
      <c r="DU3" s="21" t="s">
        <v>185</v>
      </c>
      <c r="DV3" s="21" t="s">
        <v>172</v>
      </c>
      <c r="DW3" s="21" t="s">
        <v>166</v>
      </c>
      <c r="DX3" s="21" t="s">
        <v>150</v>
      </c>
      <c r="DY3" s="21" t="s">
        <v>165</v>
      </c>
      <c r="DZ3" s="21" t="s">
        <v>163</v>
      </c>
      <c r="EA3" s="21" t="s">
        <v>164</v>
      </c>
      <c r="EB3" s="21" t="s">
        <v>162</v>
      </c>
      <c r="EC3" s="21" t="s">
        <v>151</v>
      </c>
      <c r="EH3" s="18" t="s">
        <v>146</v>
      </c>
      <c r="EI3" s="18" t="s">
        <v>145</v>
      </c>
    </row>
    <row r="4" spans="1:139" ht="20.25" x14ac:dyDescent="0.3">
      <c r="A4" s="10"/>
      <c r="B4" s="9"/>
      <c r="E4" s="1"/>
      <c r="F4" s="1"/>
      <c r="G4" s="1"/>
      <c r="H4" s="1"/>
      <c r="K4" t="s">
        <v>134</v>
      </c>
      <c r="L4" t="s">
        <v>139</v>
      </c>
      <c r="M4" t="s">
        <v>139</v>
      </c>
      <c r="N4" t="s">
        <v>143</v>
      </c>
      <c r="O4" t="s">
        <v>129</v>
      </c>
      <c r="P4" t="s">
        <v>142</v>
      </c>
      <c r="Q4" t="s">
        <v>142</v>
      </c>
      <c r="R4" t="s">
        <v>142</v>
      </c>
      <c r="S4" t="s">
        <v>132</v>
      </c>
      <c r="T4" t="s">
        <v>141</v>
      </c>
      <c r="U4" t="s">
        <v>141</v>
      </c>
      <c r="V4" t="s">
        <v>141</v>
      </c>
      <c r="W4" t="s">
        <v>141</v>
      </c>
      <c r="X4" t="s">
        <v>34</v>
      </c>
      <c r="Y4" t="s">
        <v>34</v>
      </c>
      <c r="Z4" t="s">
        <v>34</v>
      </c>
      <c r="AA4" t="s">
        <v>34</v>
      </c>
      <c r="AB4" t="s">
        <v>133</v>
      </c>
      <c r="AC4" t="s">
        <v>133</v>
      </c>
      <c r="AD4" t="s">
        <v>133</v>
      </c>
      <c r="AE4" t="s">
        <v>133</v>
      </c>
      <c r="AF4" t="s">
        <v>34</v>
      </c>
      <c r="AG4" t="s">
        <v>291</v>
      </c>
      <c r="AH4" t="s">
        <v>139</v>
      </c>
      <c r="AI4" t="s">
        <v>139</v>
      </c>
      <c r="AJ4" t="s">
        <v>138</v>
      </c>
      <c r="AL4" t="s">
        <v>138</v>
      </c>
      <c r="AM4" t="s">
        <v>247</v>
      </c>
      <c r="AN4" t="s">
        <v>138</v>
      </c>
      <c r="AO4" t="s">
        <v>138</v>
      </c>
      <c r="AP4" t="s">
        <v>34</v>
      </c>
      <c r="AQ4" t="s">
        <v>34</v>
      </c>
      <c r="AR4" t="s">
        <v>137</v>
      </c>
      <c r="AS4" t="s">
        <v>137</v>
      </c>
      <c r="AT4" t="s">
        <v>137</v>
      </c>
      <c r="AV4" t="s">
        <v>135</v>
      </c>
      <c r="AW4" t="s">
        <v>135</v>
      </c>
      <c r="AX4" t="s">
        <v>135</v>
      </c>
      <c r="AY4" t="s">
        <v>136</v>
      </c>
      <c r="AZ4" t="s">
        <v>135</v>
      </c>
      <c r="BA4" t="s">
        <v>135</v>
      </c>
      <c r="BB4" t="s">
        <v>135</v>
      </c>
      <c r="BC4" t="s">
        <v>129</v>
      </c>
      <c r="BD4" t="s">
        <v>129</v>
      </c>
      <c r="BE4" t="s">
        <v>129</v>
      </c>
      <c r="BF4" t="s">
        <v>132</v>
      </c>
      <c r="BG4" t="s">
        <v>134</v>
      </c>
      <c r="BH4" t="s">
        <v>131</v>
      </c>
      <c r="BI4" t="s">
        <v>129</v>
      </c>
      <c r="BJ4" t="s">
        <v>131</v>
      </c>
      <c r="BK4" t="s">
        <v>132</v>
      </c>
      <c r="BL4" t="s">
        <v>129</v>
      </c>
      <c r="BM4" t="s">
        <v>132</v>
      </c>
      <c r="BN4" t="s">
        <v>34</v>
      </c>
      <c r="BO4" t="s">
        <v>132</v>
      </c>
      <c r="BP4" t="s">
        <v>34</v>
      </c>
      <c r="BQ4" t="s">
        <v>130</v>
      </c>
      <c r="BR4" t="s">
        <v>130</v>
      </c>
      <c r="BS4" t="s">
        <v>131</v>
      </c>
      <c r="BT4" t="s">
        <v>129</v>
      </c>
      <c r="BU4" t="s">
        <v>129</v>
      </c>
      <c r="BV4" t="s">
        <v>129</v>
      </c>
      <c r="BW4" t="s">
        <v>34</v>
      </c>
      <c r="BX4" t="s">
        <v>132</v>
      </c>
      <c r="BY4" t="s">
        <v>132</v>
      </c>
      <c r="BZ4" t="s">
        <v>132</v>
      </c>
      <c r="CC4" t="s">
        <v>129</v>
      </c>
      <c r="CD4" t="s">
        <v>34</v>
      </c>
      <c r="CE4" t="s">
        <v>34</v>
      </c>
      <c r="CF4" t="s">
        <v>34</v>
      </c>
      <c r="CG4" t="s">
        <v>129</v>
      </c>
      <c r="CH4" t="s">
        <v>129</v>
      </c>
      <c r="CI4" t="s">
        <v>129</v>
      </c>
      <c r="CK4" t="s">
        <v>132</v>
      </c>
      <c r="CL4" t="s">
        <v>134</v>
      </c>
      <c r="CM4" t="s">
        <v>143</v>
      </c>
      <c r="CN4" t="s">
        <v>143</v>
      </c>
      <c r="CO4" t="s">
        <v>143</v>
      </c>
      <c r="CP4" t="s">
        <v>139</v>
      </c>
      <c r="CQ4" s="28" t="s">
        <v>130</v>
      </c>
      <c r="CR4" s="28" t="s">
        <v>130</v>
      </c>
      <c r="CS4" s="28" t="s">
        <v>130</v>
      </c>
      <c r="CT4" t="s">
        <v>140</v>
      </c>
      <c r="CU4" t="s">
        <v>133</v>
      </c>
      <c r="CW4" t="s">
        <v>132</v>
      </c>
      <c r="CX4" t="s">
        <v>133</v>
      </c>
      <c r="CY4" t="s">
        <v>129</v>
      </c>
      <c r="CZ4" t="s">
        <v>129</v>
      </c>
      <c r="DA4" t="s">
        <v>129</v>
      </c>
      <c r="DH4" t="s">
        <v>133</v>
      </c>
      <c r="DI4" t="s">
        <v>129</v>
      </c>
      <c r="DJ4" t="s">
        <v>129</v>
      </c>
      <c r="DM4" t="s">
        <v>137</v>
      </c>
      <c r="DN4" t="s">
        <v>137</v>
      </c>
      <c r="DT4" t="s">
        <v>134</v>
      </c>
      <c r="DU4" t="s">
        <v>132</v>
      </c>
      <c r="DW4" t="s">
        <v>129</v>
      </c>
      <c r="DY4" t="s">
        <v>132</v>
      </c>
      <c r="DZ4" t="s">
        <v>131</v>
      </c>
      <c r="EC4" t="s">
        <v>129</v>
      </c>
    </row>
    <row r="5" spans="1:139" x14ac:dyDescent="0.2">
      <c r="A5" s="3"/>
      <c r="B5" s="9" t="s">
        <v>128</v>
      </c>
      <c r="E5" s="1"/>
      <c r="F5" s="1"/>
      <c r="G5" s="1"/>
      <c r="H5" s="1"/>
      <c r="K5" t="s">
        <v>127</v>
      </c>
      <c r="L5" t="s">
        <v>126</v>
      </c>
      <c r="M5" t="s">
        <v>126</v>
      </c>
      <c r="N5" t="s">
        <v>125</v>
      </c>
      <c r="O5" t="s">
        <v>126</v>
      </c>
      <c r="P5" t="s">
        <v>126</v>
      </c>
      <c r="Q5" t="s">
        <v>126</v>
      </c>
      <c r="R5" t="s">
        <v>126</v>
      </c>
      <c r="S5" t="s">
        <v>126</v>
      </c>
      <c r="T5" t="s">
        <v>127</v>
      </c>
      <c r="U5" t="s">
        <v>127</v>
      </c>
      <c r="V5" t="s">
        <v>127</v>
      </c>
      <c r="W5" t="s">
        <v>127</v>
      </c>
      <c r="AD5" t="s">
        <v>127</v>
      </c>
      <c r="AE5" t="s">
        <v>127</v>
      </c>
      <c r="AH5" t="s">
        <v>127</v>
      </c>
      <c r="AI5" t="s">
        <v>127</v>
      </c>
      <c r="AJ5" t="s">
        <v>127</v>
      </c>
      <c r="AL5" t="s">
        <v>127</v>
      </c>
      <c r="AN5" t="s">
        <v>127</v>
      </c>
      <c r="AO5" t="s">
        <v>127</v>
      </c>
      <c r="AR5" t="s">
        <v>127</v>
      </c>
      <c r="AS5" t="s">
        <v>127</v>
      </c>
      <c r="AT5" t="s">
        <v>127</v>
      </c>
      <c r="AV5" t="s">
        <v>127</v>
      </c>
      <c r="AW5" t="s">
        <v>127</v>
      </c>
      <c r="AX5" t="s">
        <v>127</v>
      </c>
      <c r="AY5" t="s">
        <v>127</v>
      </c>
      <c r="AZ5" t="s">
        <v>127</v>
      </c>
      <c r="BA5" t="s">
        <v>127</v>
      </c>
      <c r="BB5" t="s">
        <v>127</v>
      </c>
      <c r="BC5" t="s">
        <v>125</v>
      </c>
      <c r="BE5" t="s">
        <v>127</v>
      </c>
      <c r="BF5" t="s">
        <v>127</v>
      </c>
      <c r="BG5" t="s">
        <v>127</v>
      </c>
      <c r="BH5" t="s">
        <v>127</v>
      </c>
      <c r="BI5" t="s">
        <v>127</v>
      </c>
      <c r="BJ5" t="s">
        <v>127</v>
      </c>
      <c r="BK5" t="s">
        <v>127</v>
      </c>
      <c r="BL5" t="s">
        <v>127</v>
      </c>
      <c r="BM5" t="s">
        <v>126</v>
      </c>
      <c r="BO5" t="s">
        <v>127</v>
      </c>
      <c r="BQ5" t="s">
        <v>127</v>
      </c>
      <c r="BR5" t="s">
        <v>127</v>
      </c>
      <c r="BS5" t="s">
        <v>127</v>
      </c>
      <c r="BT5" t="s">
        <v>127</v>
      </c>
      <c r="BU5" t="s">
        <v>127</v>
      </c>
      <c r="BV5" t="s">
        <v>125</v>
      </c>
      <c r="BX5" t="s">
        <v>127</v>
      </c>
      <c r="BY5" t="s">
        <v>127</v>
      </c>
      <c r="BZ5" t="s">
        <v>127</v>
      </c>
      <c r="CC5" t="s">
        <v>125</v>
      </c>
      <c r="CG5" t="s">
        <v>125</v>
      </c>
      <c r="CH5" t="s">
        <v>125</v>
      </c>
      <c r="CI5" t="s">
        <v>125</v>
      </c>
      <c r="CK5" t="s">
        <v>126</v>
      </c>
      <c r="CL5" t="s">
        <v>125</v>
      </c>
      <c r="CM5" t="s">
        <v>125</v>
      </c>
      <c r="CN5" t="s">
        <v>125</v>
      </c>
      <c r="CO5" t="s">
        <v>125</v>
      </c>
      <c r="CP5" t="s">
        <v>126</v>
      </c>
      <c r="CQ5" s="28" t="s">
        <v>126</v>
      </c>
      <c r="CT5" t="s">
        <v>126</v>
      </c>
      <c r="CU5" t="s">
        <v>126</v>
      </c>
      <c r="CW5" t="s">
        <v>127</v>
      </c>
      <c r="CX5" t="s">
        <v>125</v>
      </c>
      <c r="CY5" t="s">
        <v>125</v>
      </c>
      <c r="CZ5" t="s">
        <v>125</v>
      </c>
      <c r="DA5" t="s">
        <v>126</v>
      </c>
      <c r="DH5" t="s">
        <v>126</v>
      </c>
      <c r="DI5" t="s">
        <v>127</v>
      </c>
      <c r="DJ5" t="s">
        <v>126</v>
      </c>
      <c r="DM5" t="s">
        <v>127</v>
      </c>
      <c r="DN5" t="s">
        <v>127</v>
      </c>
      <c r="DQ5" t="s">
        <v>126</v>
      </c>
      <c r="DS5" t="s">
        <v>126</v>
      </c>
      <c r="DT5" t="s">
        <v>125</v>
      </c>
      <c r="DU5" t="s">
        <v>126</v>
      </c>
      <c r="DW5" t="s">
        <v>126</v>
      </c>
      <c r="DY5" t="s">
        <v>125</v>
      </c>
      <c r="DZ5" t="s">
        <v>125</v>
      </c>
      <c r="EC5" t="s">
        <v>126</v>
      </c>
      <c r="EI5" s="6"/>
    </row>
    <row r="6" spans="1:139" x14ac:dyDescent="0.2">
      <c r="A6">
        <v>202</v>
      </c>
      <c r="B6" t="s">
        <v>124</v>
      </c>
      <c r="C6" t="s">
        <v>7</v>
      </c>
      <c r="D6">
        <v>7</v>
      </c>
      <c r="E6">
        <v>204</v>
      </c>
      <c r="F6">
        <v>153</v>
      </c>
      <c r="G6">
        <v>169</v>
      </c>
      <c r="H6" s="50">
        <f>F6-G6</f>
        <v>-16</v>
      </c>
      <c r="I6" s="4">
        <v>0.86764705882352944</v>
      </c>
      <c r="J6">
        <v>177</v>
      </c>
      <c r="K6" s="34">
        <v>198942.26</v>
      </c>
      <c r="L6" s="34">
        <v>0</v>
      </c>
      <c r="M6" s="34">
        <v>0</v>
      </c>
      <c r="N6" s="34">
        <v>71961.03</v>
      </c>
      <c r="O6" s="34">
        <v>5561.1</v>
      </c>
      <c r="P6" s="34">
        <v>79024.509999999995</v>
      </c>
      <c r="Q6" s="34">
        <v>60058.83</v>
      </c>
      <c r="R6" s="34">
        <v>51187.26</v>
      </c>
      <c r="S6" s="34">
        <v>113832.45</v>
      </c>
      <c r="T6" s="34">
        <v>227664.89</v>
      </c>
      <c r="U6" s="34">
        <v>0</v>
      </c>
      <c r="V6" s="34">
        <v>227664.89</v>
      </c>
      <c r="W6" s="34">
        <v>156665.71</v>
      </c>
      <c r="X6" s="34">
        <v>91386.9</v>
      </c>
      <c r="Y6" s="34">
        <v>0</v>
      </c>
      <c r="Z6" s="34">
        <v>0</v>
      </c>
      <c r="AA6" s="34">
        <v>0</v>
      </c>
      <c r="AB6" s="34">
        <v>0</v>
      </c>
      <c r="AC6" s="34">
        <v>0</v>
      </c>
      <c r="AD6" s="34">
        <v>0</v>
      </c>
      <c r="AE6" s="34">
        <v>0</v>
      </c>
      <c r="AF6" s="34">
        <v>913869</v>
      </c>
      <c r="AG6" s="34">
        <v>66300</v>
      </c>
      <c r="AH6" s="34">
        <v>113832.45</v>
      </c>
      <c r="AI6" s="34">
        <v>113832.45</v>
      </c>
      <c r="AJ6" s="34">
        <v>341497.34</v>
      </c>
      <c r="AK6" s="34">
        <v>113832.45</v>
      </c>
      <c r="AL6" s="34">
        <v>39166.43</v>
      </c>
      <c r="AM6" s="34">
        <v>0</v>
      </c>
      <c r="AN6" s="34">
        <v>57558.06</v>
      </c>
      <c r="AO6" s="34">
        <v>0</v>
      </c>
      <c r="AP6" s="34">
        <v>59132.7</v>
      </c>
      <c r="AQ6" s="34">
        <v>0</v>
      </c>
      <c r="AR6" s="34">
        <v>0</v>
      </c>
      <c r="AS6" s="34">
        <v>30734.76</v>
      </c>
      <c r="AT6" s="34">
        <v>0</v>
      </c>
      <c r="AU6" s="34">
        <v>10751.4</v>
      </c>
      <c r="AV6" s="34">
        <v>6800</v>
      </c>
      <c r="AW6" s="34">
        <v>6800</v>
      </c>
      <c r="AX6" s="34">
        <v>10200</v>
      </c>
      <c r="AY6" s="34">
        <v>0</v>
      </c>
      <c r="AZ6" s="34">
        <v>13600</v>
      </c>
      <c r="BA6" s="34">
        <v>0</v>
      </c>
      <c r="BB6" s="34">
        <v>13600</v>
      </c>
      <c r="BC6" s="34">
        <v>110400.96000000001</v>
      </c>
      <c r="BD6" s="34">
        <v>1778.29</v>
      </c>
      <c r="BE6" s="34">
        <v>0</v>
      </c>
      <c r="BF6" s="34">
        <v>0</v>
      </c>
      <c r="BG6" s="34">
        <v>0</v>
      </c>
      <c r="BH6" s="34">
        <v>0</v>
      </c>
      <c r="BI6" s="34">
        <v>0</v>
      </c>
      <c r="BJ6" s="34">
        <v>0</v>
      </c>
      <c r="BK6" s="34">
        <v>0</v>
      </c>
      <c r="BL6" s="34">
        <v>0</v>
      </c>
      <c r="BM6" s="34">
        <v>0</v>
      </c>
      <c r="BN6" s="34">
        <v>0</v>
      </c>
      <c r="BO6" s="34">
        <v>0</v>
      </c>
      <c r="BP6" s="34">
        <v>0</v>
      </c>
      <c r="BQ6" s="34">
        <v>0</v>
      </c>
      <c r="BR6" s="34">
        <v>0</v>
      </c>
      <c r="BS6" s="34">
        <v>0</v>
      </c>
      <c r="BT6" s="34">
        <v>0</v>
      </c>
      <c r="BU6" s="34">
        <v>15325</v>
      </c>
      <c r="BV6" s="34">
        <v>0</v>
      </c>
      <c r="BW6" s="34">
        <v>0</v>
      </c>
      <c r="BX6" s="34">
        <v>0</v>
      </c>
      <c r="BY6" s="34">
        <v>0</v>
      </c>
      <c r="BZ6" s="34">
        <v>0</v>
      </c>
      <c r="CA6" s="34">
        <v>474803.21</v>
      </c>
      <c r="CB6" s="34">
        <v>113964.84</v>
      </c>
      <c r="CC6" s="34">
        <v>191148.65</v>
      </c>
      <c r="CD6" s="34">
        <v>48742.239999999998</v>
      </c>
      <c r="CE6" s="34">
        <v>230513.44</v>
      </c>
      <c r="CF6" s="34">
        <v>0</v>
      </c>
      <c r="CJ6" s="28">
        <f>SUM(K6:CI6)</f>
        <v>4382133.5000000009</v>
      </c>
      <c r="CK6" s="28">
        <v>113832</v>
      </c>
      <c r="CM6" s="34">
        <f t="shared" ref="CM6:CM37" si="0">IF(E6&lt;300,0.5*CM$123,CM$123)</f>
        <v>46193.5</v>
      </c>
      <c r="CN6" s="34">
        <f>IF($E6&gt;400,400/$E6*CN$123,0)</f>
        <v>0</v>
      </c>
      <c r="CQ6" s="28">
        <f>IF('Gen ed tchrs'!$V2&gt;37,2*113832,IF('Gen ed tchrs'!$V2&gt;25,1.5*113832,113832))</f>
        <v>113832</v>
      </c>
      <c r="CR6" s="28">
        <f>IF('Gen ed tchrs'!$V2&gt;37,2*113832,IF('Gen ed tchrs'!$V2&gt;25,1.5*113832,113832))</f>
        <v>113832</v>
      </c>
      <c r="CS6" s="28">
        <f>IF('Gen ed tchrs'!$V2&gt;39.1,3.5*113832,IF('Gen ed tchrs'!$V2&gt;33.1,3*113832,IF('Gen ed tchrs'!$V2&gt;26.1,2.5*113832,IF('Gen ed tchrs'!$V2&gt;20.1,2*113832,IF('Gen ed tchrs'!$V2&gt;13.1,1.5*113832,113832)))))</f>
        <v>113832</v>
      </c>
      <c r="CT6" s="34">
        <f>VLOOKUP($A6,'PosxSchpostCouncil 22'!$A$6:$DP$121,94,FALSE)*CT$123</f>
        <v>78332.86</v>
      </c>
      <c r="CU6" s="28">
        <f>VLOOKUP($A6,'Gen ed tchrs'!A2:R117,18,FALSE)*CU$123</f>
        <v>1024492.0499999999</v>
      </c>
      <c r="CV6" s="28">
        <f>'Gen ed tchrs'!Z2*CV$123/2</f>
        <v>56916.224999999999</v>
      </c>
      <c r="DB6" s="28">
        <f>SUM(CK6:DA6)</f>
        <v>1661262.635</v>
      </c>
      <c r="DC6" s="28">
        <f>SUM(AA6,AF6, BV6)</f>
        <v>913869</v>
      </c>
      <c r="DD6" s="28">
        <f t="shared" ref="DD6:DD37" si="1">SUM(CC6:CF6)</f>
        <v>470404.32999999996</v>
      </c>
      <c r="DE6" s="28">
        <f>SUM(DC6:DD6)</f>
        <v>1384273.33</v>
      </c>
      <c r="DF6" s="6">
        <f>DE6-DB6</f>
        <v>-276989.30499999993</v>
      </c>
      <c r="DH6" s="34"/>
      <c r="DM6" s="34"/>
      <c r="DN6" s="34"/>
    </row>
    <row r="7" spans="1:139" x14ac:dyDescent="0.2">
      <c r="A7">
        <v>203</v>
      </c>
      <c r="B7" t="s">
        <v>123</v>
      </c>
      <c r="C7" t="s">
        <v>7</v>
      </c>
      <c r="D7">
        <v>6</v>
      </c>
      <c r="E7">
        <v>360</v>
      </c>
      <c r="F7">
        <v>288</v>
      </c>
      <c r="G7">
        <v>263</v>
      </c>
      <c r="H7" s="50">
        <f t="shared" ref="H7:H70" si="2">F7-G7</f>
        <v>25</v>
      </c>
      <c r="I7" s="4">
        <v>0.61944444444444446</v>
      </c>
      <c r="J7">
        <v>223</v>
      </c>
      <c r="K7" s="34">
        <v>198942.26</v>
      </c>
      <c r="L7" s="34">
        <v>0</v>
      </c>
      <c r="M7" s="34">
        <v>0</v>
      </c>
      <c r="N7" s="34">
        <v>71961.03</v>
      </c>
      <c r="O7" s="34">
        <v>6183.55</v>
      </c>
      <c r="P7" s="34">
        <v>79024.509999999995</v>
      </c>
      <c r="Q7" s="34">
        <v>60058.83</v>
      </c>
      <c r="R7" s="34">
        <v>102374.53</v>
      </c>
      <c r="S7" s="34">
        <v>113832.45</v>
      </c>
      <c r="T7" s="34">
        <v>227664.89</v>
      </c>
      <c r="U7" s="34">
        <v>113832.45</v>
      </c>
      <c r="V7" s="34">
        <v>227664.89</v>
      </c>
      <c r="W7" s="34">
        <v>195832.13</v>
      </c>
      <c r="X7" s="34">
        <v>129016.8</v>
      </c>
      <c r="Y7" s="34">
        <v>0</v>
      </c>
      <c r="Z7" s="34">
        <v>0</v>
      </c>
      <c r="AA7" s="34">
        <v>0</v>
      </c>
      <c r="AB7" s="34">
        <v>0</v>
      </c>
      <c r="AC7" s="34">
        <v>0</v>
      </c>
      <c r="AD7" s="34">
        <v>0</v>
      </c>
      <c r="AE7" s="34">
        <v>0</v>
      </c>
      <c r="AF7" s="34">
        <v>1720224</v>
      </c>
      <c r="AG7" s="34">
        <v>117000</v>
      </c>
      <c r="AH7" s="34">
        <v>113832.45</v>
      </c>
      <c r="AI7" s="34">
        <v>170748.67</v>
      </c>
      <c r="AJ7" s="34">
        <v>455329.78</v>
      </c>
      <c r="AK7" s="34">
        <v>455329.78</v>
      </c>
      <c r="AL7" s="34">
        <v>234998.56</v>
      </c>
      <c r="AM7" s="34">
        <v>0</v>
      </c>
      <c r="AN7" s="34">
        <v>0</v>
      </c>
      <c r="AO7" s="34">
        <v>0</v>
      </c>
      <c r="AP7" s="34">
        <v>103930.2</v>
      </c>
      <c r="AQ7" s="34">
        <v>0</v>
      </c>
      <c r="AR7" s="34">
        <v>0</v>
      </c>
      <c r="AS7" s="34">
        <v>40979.68</v>
      </c>
      <c r="AT7" s="34">
        <v>0</v>
      </c>
      <c r="AU7" s="34">
        <v>14335.2</v>
      </c>
      <c r="AV7" s="34">
        <v>13600</v>
      </c>
      <c r="AW7" s="34">
        <v>20400</v>
      </c>
      <c r="AX7" s="34">
        <v>10200</v>
      </c>
      <c r="AY7" s="34">
        <v>0</v>
      </c>
      <c r="AZ7" s="34">
        <v>13600</v>
      </c>
      <c r="BA7" s="34">
        <v>0</v>
      </c>
      <c r="BB7" s="34">
        <v>20400</v>
      </c>
      <c r="BC7" s="34">
        <v>166250.85999999999</v>
      </c>
      <c r="BD7" s="34">
        <v>2677.89</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598198.39</v>
      </c>
      <c r="CB7" s="34">
        <v>94373.4</v>
      </c>
      <c r="CC7" s="34">
        <v>0</v>
      </c>
      <c r="CD7" s="34">
        <v>0</v>
      </c>
      <c r="CE7" s="34">
        <v>0</v>
      </c>
      <c r="CF7" s="34">
        <v>0</v>
      </c>
      <c r="CJ7" s="28">
        <f t="shared" ref="CJ7:CJ70" si="3">SUM(K7:CI7)</f>
        <v>5892797.1800000006</v>
      </c>
      <c r="CK7" s="28">
        <v>113832</v>
      </c>
      <c r="CL7" s="28">
        <f>E7/400*CL$123</f>
        <v>142704</v>
      </c>
      <c r="CM7" s="34">
        <f t="shared" si="0"/>
        <v>92387</v>
      </c>
      <c r="CN7" s="34">
        <f t="shared" ref="CN7:CN70" si="4">IF($E7&gt;400,400/$E7*CN$123,0)</f>
        <v>0</v>
      </c>
      <c r="CQ7" s="28">
        <f>IF('Gen ed tchrs'!$V3&gt;37,2*113832,IF('Gen ed tchrs'!$V3&gt;25,1.5*113832,113832))</f>
        <v>113832</v>
      </c>
      <c r="CR7" s="28">
        <f>IF('Gen ed tchrs'!$V3&gt;37,2*113832,IF('Gen ed tchrs'!$V3&gt;25,1.5*113832,113832))</f>
        <v>113832</v>
      </c>
      <c r="CS7" s="28">
        <f>IF('Gen ed tchrs'!$V3&gt;39.1,3.5*113832,IF('Gen ed tchrs'!$V3&gt;33.1,3*113832,IF('Gen ed tchrs'!$V3&gt;26.1,2.5*113832,IF('Gen ed tchrs'!$V3&gt;20.1,2*113832,IF('Gen ed tchrs'!$V3&gt;13.1,1.5*113832,113832)))))</f>
        <v>227664</v>
      </c>
      <c r="CT7" s="34">
        <f>VLOOKUP($A7,'PosxSchpostCouncil 22'!$A$6:$DP$121,94,FALSE)*CT$123</f>
        <v>117499.29000000001</v>
      </c>
      <c r="CU7" s="28">
        <f>VLOOKUP($A7,'Gen ed tchrs'!A3:R118,18,FALSE)*CU$123</f>
        <v>1821319.2</v>
      </c>
      <c r="CV7" s="28">
        <f>'Gen ed tchrs'!Z3*CV$123/2</f>
        <v>18497.773124999996</v>
      </c>
      <c r="DB7" s="28">
        <f t="shared" ref="DB7:DB70" si="5">SUM(CK7:DA7)</f>
        <v>2761567.2631250001</v>
      </c>
      <c r="DC7" s="28">
        <f t="shared" ref="DC7:DC70" si="6">SUM(AA7,AF7, BV7)</f>
        <v>1720224</v>
      </c>
      <c r="DD7" s="28">
        <f t="shared" si="1"/>
        <v>0</v>
      </c>
      <c r="DE7" s="28">
        <f t="shared" ref="DE7:DE70" si="7">SUM(DC7:DD7)</f>
        <v>1720224</v>
      </c>
      <c r="DF7" s="6">
        <f t="shared" ref="DF7:DF70" si="8">DE7-DB7</f>
        <v>-1041343.2631250001</v>
      </c>
      <c r="DM7" s="34"/>
      <c r="DN7" s="34"/>
    </row>
    <row r="8" spans="1:139" x14ac:dyDescent="0.2">
      <c r="A8">
        <v>450</v>
      </c>
      <c r="B8" t="s">
        <v>122</v>
      </c>
      <c r="C8" t="s">
        <v>1</v>
      </c>
      <c r="D8">
        <v>8</v>
      </c>
      <c r="E8">
        <v>341</v>
      </c>
      <c r="F8">
        <v>341</v>
      </c>
      <c r="G8">
        <v>357</v>
      </c>
      <c r="H8" s="50">
        <f t="shared" si="2"/>
        <v>-16</v>
      </c>
      <c r="I8" s="4">
        <v>0.83577712609970678</v>
      </c>
      <c r="J8">
        <v>285</v>
      </c>
      <c r="K8" s="34">
        <v>198942.26</v>
      </c>
      <c r="L8" s="34">
        <v>0</v>
      </c>
      <c r="M8" s="34">
        <v>192637.4</v>
      </c>
      <c r="N8" s="34">
        <v>71961.03</v>
      </c>
      <c r="O8" s="34">
        <v>16254.33</v>
      </c>
      <c r="P8" s="34">
        <v>79024.509999999995</v>
      </c>
      <c r="Q8" s="34">
        <v>60058.83</v>
      </c>
      <c r="R8" s="34">
        <v>204749.06</v>
      </c>
      <c r="S8" s="34">
        <v>113832.45</v>
      </c>
      <c r="T8" s="34">
        <v>0</v>
      </c>
      <c r="U8" s="34">
        <v>0</v>
      </c>
      <c r="V8" s="34">
        <v>0</v>
      </c>
      <c r="W8" s="34">
        <v>0</v>
      </c>
      <c r="X8" s="34">
        <v>0</v>
      </c>
      <c r="Y8" s="34">
        <v>0</v>
      </c>
      <c r="Z8" s="34">
        <v>0</v>
      </c>
      <c r="AA8" s="34">
        <v>0</v>
      </c>
      <c r="AB8" s="34">
        <v>227664.89</v>
      </c>
      <c r="AC8" s="34">
        <v>0</v>
      </c>
      <c r="AD8" s="34">
        <v>0</v>
      </c>
      <c r="AE8" s="34">
        <v>0</v>
      </c>
      <c r="AF8" s="34">
        <v>2036793</v>
      </c>
      <c r="AG8" s="34">
        <v>202213</v>
      </c>
      <c r="AH8" s="34">
        <v>113832.45</v>
      </c>
      <c r="AI8" s="34">
        <v>455329.78</v>
      </c>
      <c r="AJ8" s="34">
        <v>682994.68</v>
      </c>
      <c r="AK8" s="34">
        <v>910659.57</v>
      </c>
      <c r="AL8" s="34">
        <v>391664.27</v>
      </c>
      <c r="AM8" s="34">
        <v>0</v>
      </c>
      <c r="AN8" s="34">
        <v>115116.11</v>
      </c>
      <c r="AO8" s="34">
        <v>0</v>
      </c>
      <c r="AP8" s="34">
        <v>166646.70000000001</v>
      </c>
      <c r="AQ8" s="34">
        <v>0</v>
      </c>
      <c r="AR8" s="34">
        <v>0</v>
      </c>
      <c r="AS8" s="34">
        <v>26181.46</v>
      </c>
      <c r="AT8" s="34">
        <v>0</v>
      </c>
      <c r="AU8" s="34">
        <v>8959.5</v>
      </c>
      <c r="AV8" s="34">
        <v>0</v>
      </c>
      <c r="AW8" s="34" t="s">
        <v>361</v>
      </c>
      <c r="AX8" s="34">
        <v>0</v>
      </c>
      <c r="AY8" s="34">
        <v>60000</v>
      </c>
      <c r="AZ8" s="34">
        <v>0</v>
      </c>
      <c r="BA8" s="34">
        <v>0</v>
      </c>
      <c r="BB8" s="34">
        <v>0</v>
      </c>
      <c r="BC8" s="34">
        <v>184542.78</v>
      </c>
      <c r="BD8" s="34">
        <v>2972.53</v>
      </c>
      <c r="BE8" s="34">
        <v>0</v>
      </c>
      <c r="BF8" s="34">
        <v>0</v>
      </c>
      <c r="BG8" s="34">
        <v>158559.82</v>
      </c>
      <c r="BH8" s="34">
        <v>9336.09</v>
      </c>
      <c r="BI8" s="34">
        <v>25880</v>
      </c>
      <c r="BJ8" s="34">
        <v>36800</v>
      </c>
      <c r="BK8" s="34">
        <v>0</v>
      </c>
      <c r="BL8" s="34">
        <v>0</v>
      </c>
      <c r="BM8" s="34">
        <v>0</v>
      </c>
      <c r="BN8" s="34">
        <v>0</v>
      </c>
      <c r="BO8" s="34">
        <v>0</v>
      </c>
      <c r="BP8" s="34">
        <v>0</v>
      </c>
      <c r="BQ8" s="34">
        <v>0</v>
      </c>
      <c r="BR8" s="34">
        <v>0</v>
      </c>
      <c r="BS8" s="34">
        <v>0</v>
      </c>
      <c r="BT8" s="34">
        <v>0</v>
      </c>
      <c r="BU8" s="34">
        <v>0</v>
      </c>
      <c r="BV8" s="34">
        <v>0</v>
      </c>
      <c r="BW8" s="34">
        <v>295129</v>
      </c>
      <c r="BX8" s="34">
        <v>147878.60999999999</v>
      </c>
      <c r="BY8" s="34">
        <v>0</v>
      </c>
      <c r="BZ8" s="34">
        <v>0</v>
      </c>
      <c r="CA8" s="34">
        <v>854377.52</v>
      </c>
      <c r="CB8" s="34">
        <v>232827.54</v>
      </c>
      <c r="CC8" s="34">
        <v>380968.54</v>
      </c>
      <c r="CD8" s="34">
        <v>110436.07</v>
      </c>
      <c r="CE8" s="34">
        <v>0</v>
      </c>
      <c r="CF8" s="34">
        <v>0</v>
      </c>
      <c r="CJ8" s="28">
        <f t="shared" si="3"/>
        <v>8775223.7800000012</v>
      </c>
      <c r="CK8" s="28">
        <v>113832</v>
      </c>
      <c r="CL8" s="28">
        <f t="shared" ref="CL8:CL10" si="9">E8/300*CL$123</f>
        <v>180229.86666666667</v>
      </c>
      <c r="CM8" s="34">
        <f t="shared" si="0"/>
        <v>92387</v>
      </c>
      <c r="CN8" s="34">
        <f t="shared" si="4"/>
        <v>0</v>
      </c>
      <c r="CO8" s="28">
        <f>CO$123</f>
        <v>58500</v>
      </c>
      <c r="CP8" s="28">
        <f t="shared" ref="CP8:CP10" si="10">CP$123</f>
        <v>70673</v>
      </c>
      <c r="CU8" s="28">
        <f>VLOOKUP($A8,'Gen ed tchrs'!A4:R119,18,FALSE)*CU$123</f>
        <v>2390481.4499999997</v>
      </c>
      <c r="CV8" s="28">
        <f>'Gen ed tchrs'!Z4*CV$123/2</f>
        <v>122227.5931875</v>
      </c>
      <c r="CW8" s="34">
        <v>119483</v>
      </c>
      <c r="DB8" s="28">
        <f t="shared" si="5"/>
        <v>3147813.9098541662</v>
      </c>
      <c r="DC8" s="28">
        <f t="shared" si="6"/>
        <v>2036793</v>
      </c>
      <c r="DD8" s="28">
        <f t="shared" si="1"/>
        <v>491404.61</v>
      </c>
      <c r="DE8" s="28">
        <f t="shared" si="7"/>
        <v>2528197.61</v>
      </c>
      <c r="DF8" s="6">
        <f t="shared" si="8"/>
        <v>-619616.29985416634</v>
      </c>
      <c r="DM8" s="34"/>
      <c r="DN8" s="34"/>
    </row>
    <row r="9" spans="1:139" x14ac:dyDescent="0.2">
      <c r="A9">
        <v>452</v>
      </c>
      <c r="B9" t="s">
        <v>121</v>
      </c>
      <c r="C9" t="s">
        <v>1</v>
      </c>
      <c r="D9">
        <v>8</v>
      </c>
      <c r="E9">
        <v>672</v>
      </c>
      <c r="F9">
        <v>672</v>
      </c>
      <c r="G9">
        <v>698</v>
      </c>
      <c r="H9" s="50">
        <f t="shared" si="2"/>
        <v>-26</v>
      </c>
      <c r="I9" s="4">
        <v>0.85119047619047616</v>
      </c>
      <c r="J9">
        <v>572</v>
      </c>
      <c r="K9" s="34">
        <v>198942.26</v>
      </c>
      <c r="L9" s="34">
        <v>0</v>
      </c>
      <c r="M9" s="34">
        <v>385274.79</v>
      </c>
      <c r="N9" s="34">
        <v>71961.03</v>
      </c>
      <c r="O9" s="34">
        <v>27396.65</v>
      </c>
      <c r="P9" s="34">
        <v>79024.509999999995</v>
      </c>
      <c r="Q9" s="34">
        <v>60058.83</v>
      </c>
      <c r="R9" s="34">
        <v>460685.38</v>
      </c>
      <c r="S9" s="34">
        <v>113832.45</v>
      </c>
      <c r="T9" s="34">
        <v>0</v>
      </c>
      <c r="U9" s="34">
        <v>0</v>
      </c>
      <c r="V9" s="34">
        <v>0</v>
      </c>
      <c r="W9" s="34">
        <v>0</v>
      </c>
      <c r="X9" s="34">
        <v>0</v>
      </c>
      <c r="Y9" s="34">
        <v>0</v>
      </c>
      <c r="Z9" s="34">
        <v>0</v>
      </c>
      <c r="AA9" s="34">
        <v>0</v>
      </c>
      <c r="AB9" s="34">
        <v>569162.23</v>
      </c>
      <c r="AC9" s="34">
        <v>85909.9</v>
      </c>
      <c r="AD9" s="34">
        <v>0</v>
      </c>
      <c r="AE9" s="34">
        <v>0</v>
      </c>
      <c r="AF9" s="34">
        <v>4013856</v>
      </c>
      <c r="AG9" s="34">
        <v>398496</v>
      </c>
      <c r="AH9" s="34">
        <v>227664.89</v>
      </c>
      <c r="AI9" s="34">
        <v>569162.23</v>
      </c>
      <c r="AJ9" s="34">
        <v>1252156.9099999999</v>
      </c>
      <c r="AK9" s="34">
        <v>910659.57</v>
      </c>
      <c r="AL9" s="34">
        <v>391664.27</v>
      </c>
      <c r="AM9" s="34">
        <v>0</v>
      </c>
      <c r="AN9" s="34">
        <v>115116.11</v>
      </c>
      <c r="AO9" s="34">
        <v>0</v>
      </c>
      <c r="AP9" s="34">
        <v>292079.7</v>
      </c>
      <c r="AQ9" s="34">
        <v>0</v>
      </c>
      <c r="AR9" s="34">
        <v>113832.45</v>
      </c>
      <c r="AS9" s="34">
        <v>0</v>
      </c>
      <c r="AT9" s="34">
        <v>0</v>
      </c>
      <c r="AU9" s="34">
        <v>19710.900000000001</v>
      </c>
      <c r="AV9" s="34">
        <v>0</v>
      </c>
      <c r="AW9" s="34">
        <v>0</v>
      </c>
      <c r="AX9" s="34">
        <v>0</v>
      </c>
      <c r="AY9" s="34">
        <v>70000</v>
      </c>
      <c r="AZ9" s="34">
        <v>0</v>
      </c>
      <c r="BA9" s="34">
        <v>0</v>
      </c>
      <c r="BB9" s="34">
        <v>0</v>
      </c>
      <c r="BC9" s="34">
        <v>363673.75</v>
      </c>
      <c r="BD9" s="34">
        <v>5857.89</v>
      </c>
      <c r="BE9" s="34">
        <v>0</v>
      </c>
      <c r="BF9" s="34">
        <v>0</v>
      </c>
      <c r="BG9" s="34">
        <v>158559.82</v>
      </c>
      <c r="BH9" s="34">
        <v>23216.09</v>
      </c>
      <c r="BI9" s="34">
        <v>22000</v>
      </c>
      <c r="BJ9" s="34">
        <v>50800</v>
      </c>
      <c r="BK9" s="34">
        <v>0</v>
      </c>
      <c r="BL9" s="34">
        <v>0</v>
      </c>
      <c r="BM9" s="34">
        <v>0</v>
      </c>
      <c r="BN9" s="34">
        <v>0</v>
      </c>
      <c r="BO9" s="34">
        <v>0</v>
      </c>
      <c r="BP9" s="34">
        <v>0</v>
      </c>
      <c r="BQ9" s="34">
        <v>113832.45</v>
      </c>
      <c r="BR9" s="34">
        <v>0</v>
      </c>
      <c r="BS9" s="34">
        <v>140941</v>
      </c>
      <c r="BT9" s="34">
        <v>5000</v>
      </c>
      <c r="BU9" s="34">
        <v>0</v>
      </c>
      <c r="BV9" s="34">
        <v>0</v>
      </c>
      <c r="BW9" s="34">
        <v>132201</v>
      </c>
      <c r="BX9" s="34">
        <v>295757.21000000002</v>
      </c>
      <c r="BY9" s="34">
        <v>119483.41</v>
      </c>
      <c r="BZ9" s="34">
        <v>0</v>
      </c>
      <c r="CA9" s="34">
        <v>1714120.06</v>
      </c>
      <c r="CB9" s="34">
        <v>483574.08</v>
      </c>
      <c r="CC9" s="34">
        <v>0</v>
      </c>
      <c r="CD9" s="34">
        <v>0</v>
      </c>
      <c r="CE9" s="34">
        <v>0</v>
      </c>
      <c r="CF9" s="34">
        <v>0</v>
      </c>
      <c r="CJ9" s="28">
        <f t="shared" si="3"/>
        <v>14055663.82</v>
      </c>
      <c r="CK9" s="28">
        <v>113832</v>
      </c>
      <c r="CL9" s="28">
        <f t="shared" si="9"/>
        <v>355174.40000000002</v>
      </c>
      <c r="CM9" s="34">
        <f t="shared" si="0"/>
        <v>92387</v>
      </c>
      <c r="CN9" s="34">
        <f t="shared" si="4"/>
        <v>31921.428571428572</v>
      </c>
      <c r="CO9" s="28">
        <f t="shared" ref="CO9:CO10" si="11">CO$123</f>
        <v>58500</v>
      </c>
      <c r="CP9" s="28">
        <f t="shared" si="10"/>
        <v>70673</v>
      </c>
      <c r="CU9" s="28">
        <f>VLOOKUP($A9,'Gen ed tchrs'!A5:R120,18,FALSE)*CU$123</f>
        <v>4553298</v>
      </c>
      <c r="CV9" s="28">
        <f>'Gen ed tchrs'!Z5*CV$123/2</f>
        <v>75129.416999999987</v>
      </c>
      <c r="CW9" s="34">
        <v>119483</v>
      </c>
      <c r="DB9" s="28">
        <f t="shared" si="5"/>
        <v>5470398.2455714289</v>
      </c>
      <c r="DC9" s="28">
        <f t="shared" si="6"/>
        <v>4013856</v>
      </c>
      <c r="DD9" s="28">
        <f t="shared" si="1"/>
        <v>0</v>
      </c>
      <c r="DE9" s="28">
        <f t="shared" si="7"/>
        <v>4013856</v>
      </c>
      <c r="DF9" s="6">
        <f t="shared" si="8"/>
        <v>-1456542.2455714289</v>
      </c>
      <c r="DM9" s="34"/>
      <c r="DN9" s="34"/>
    </row>
    <row r="10" spans="1:139" x14ac:dyDescent="0.2">
      <c r="A10">
        <v>462</v>
      </c>
      <c r="B10" t="s">
        <v>120</v>
      </c>
      <c r="C10" t="s">
        <v>1</v>
      </c>
      <c r="D10">
        <v>8</v>
      </c>
      <c r="E10">
        <v>441</v>
      </c>
      <c r="F10">
        <v>441</v>
      </c>
      <c r="G10">
        <v>469</v>
      </c>
      <c r="H10" s="50">
        <f t="shared" si="2"/>
        <v>-28</v>
      </c>
      <c r="I10" s="4">
        <v>0.54648526077097503</v>
      </c>
      <c r="J10">
        <v>241</v>
      </c>
      <c r="K10" s="34">
        <v>198942.26</v>
      </c>
      <c r="L10" s="34">
        <v>0</v>
      </c>
      <c r="M10" s="34">
        <v>128424.93</v>
      </c>
      <c r="N10" s="34">
        <v>71961.03</v>
      </c>
      <c r="O10" s="34">
        <v>7706</v>
      </c>
      <c r="P10" s="34">
        <v>79024.509999999995</v>
      </c>
      <c r="Q10" s="34">
        <v>60058.83</v>
      </c>
      <c r="R10" s="34">
        <v>102374.53</v>
      </c>
      <c r="S10" s="34">
        <v>113832.45</v>
      </c>
      <c r="T10" s="34">
        <v>0</v>
      </c>
      <c r="U10" s="34">
        <v>0</v>
      </c>
      <c r="V10" s="34">
        <v>0</v>
      </c>
      <c r="W10" s="34">
        <v>0</v>
      </c>
      <c r="X10" s="34">
        <v>0</v>
      </c>
      <c r="Y10" s="34">
        <v>0</v>
      </c>
      <c r="Z10" s="34">
        <v>0</v>
      </c>
      <c r="AA10" s="34">
        <v>0</v>
      </c>
      <c r="AB10" s="34">
        <v>227664.89</v>
      </c>
      <c r="AC10" s="34">
        <v>257729.7</v>
      </c>
      <c r="AD10" s="34">
        <v>0</v>
      </c>
      <c r="AE10" s="34">
        <v>0</v>
      </c>
      <c r="AF10" s="34">
        <v>2634093</v>
      </c>
      <c r="AG10" s="34">
        <v>261513</v>
      </c>
      <c r="AH10" s="34">
        <v>113832.45</v>
      </c>
      <c r="AI10" s="34">
        <v>341497.34</v>
      </c>
      <c r="AJ10" s="34">
        <v>796827.12</v>
      </c>
      <c r="AK10" s="34">
        <v>227664.89</v>
      </c>
      <c r="AL10" s="34">
        <v>78332.850000000006</v>
      </c>
      <c r="AM10" s="34">
        <v>0</v>
      </c>
      <c r="AN10" s="34">
        <v>57558.06</v>
      </c>
      <c r="AO10" s="34">
        <v>0</v>
      </c>
      <c r="AP10" s="34">
        <v>125433</v>
      </c>
      <c r="AQ10" s="34">
        <v>0</v>
      </c>
      <c r="AR10" s="34">
        <v>0</v>
      </c>
      <c r="AS10" s="34">
        <v>10244.92</v>
      </c>
      <c r="AT10" s="34">
        <v>0</v>
      </c>
      <c r="AU10" s="34">
        <v>3583.8</v>
      </c>
      <c r="AV10" s="34">
        <v>0</v>
      </c>
      <c r="AW10" s="34">
        <v>0</v>
      </c>
      <c r="AX10" s="34">
        <v>0</v>
      </c>
      <c r="AY10" s="34">
        <v>70000</v>
      </c>
      <c r="AZ10" s="34">
        <v>0</v>
      </c>
      <c r="BA10" s="34">
        <v>0</v>
      </c>
      <c r="BB10" s="34">
        <v>0</v>
      </c>
      <c r="BC10" s="34">
        <v>0</v>
      </c>
      <c r="BD10" s="34">
        <v>0</v>
      </c>
      <c r="BE10" s="34">
        <v>11025</v>
      </c>
      <c r="BF10" s="34">
        <v>0</v>
      </c>
      <c r="BG10" s="34">
        <v>0</v>
      </c>
      <c r="BH10" s="34">
        <v>0</v>
      </c>
      <c r="BI10" s="34">
        <v>0</v>
      </c>
      <c r="BJ10" s="34">
        <v>0</v>
      </c>
      <c r="BK10" s="34">
        <v>0</v>
      </c>
      <c r="BL10" s="34">
        <v>0</v>
      </c>
      <c r="BM10" s="34">
        <v>0</v>
      </c>
      <c r="BN10" s="34">
        <v>0</v>
      </c>
      <c r="BO10" s="34">
        <v>0</v>
      </c>
      <c r="BP10" s="34">
        <v>0</v>
      </c>
      <c r="BQ10" s="34">
        <v>0</v>
      </c>
      <c r="BR10" s="34">
        <v>0</v>
      </c>
      <c r="BS10" s="34">
        <v>0</v>
      </c>
      <c r="BT10" s="34">
        <v>0</v>
      </c>
      <c r="BU10" s="34">
        <v>0</v>
      </c>
      <c r="BV10" s="34">
        <v>0</v>
      </c>
      <c r="BW10" s="34">
        <v>0</v>
      </c>
      <c r="BX10" s="34">
        <v>0</v>
      </c>
      <c r="BY10" s="34">
        <v>0</v>
      </c>
      <c r="BZ10" s="34">
        <v>0</v>
      </c>
      <c r="CA10" s="34">
        <v>808104.33</v>
      </c>
      <c r="CB10" s="34">
        <v>77171.16</v>
      </c>
      <c r="CC10" s="34">
        <v>0</v>
      </c>
      <c r="CD10" s="34">
        <v>0</v>
      </c>
      <c r="CE10" s="34">
        <v>0</v>
      </c>
      <c r="CF10" s="34">
        <v>0</v>
      </c>
      <c r="CJ10" s="28">
        <f t="shared" si="3"/>
        <v>6864600.0499999989</v>
      </c>
      <c r="CK10" s="28">
        <v>113832</v>
      </c>
      <c r="CL10" s="28">
        <f t="shared" si="9"/>
        <v>233083.19999999998</v>
      </c>
      <c r="CM10" s="34">
        <f t="shared" si="0"/>
        <v>92387</v>
      </c>
      <c r="CN10" s="34">
        <f t="shared" si="4"/>
        <v>48642.176870748299</v>
      </c>
      <c r="CO10" s="28">
        <f t="shared" si="11"/>
        <v>58500</v>
      </c>
      <c r="CP10" s="28">
        <f t="shared" si="10"/>
        <v>70673</v>
      </c>
      <c r="CU10" s="28">
        <f>VLOOKUP($A10,'Gen ed tchrs'!A6:R121,18,FALSE)*CU$123</f>
        <v>1935151.65</v>
      </c>
      <c r="CV10" s="28">
        <f>'Gen ed tchrs'!Z6*CV$123/2</f>
        <v>107998.5369375</v>
      </c>
      <c r="DB10" s="28">
        <f t="shared" si="5"/>
        <v>2660267.5638082479</v>
      </c>
      <c r="DC10" s="28">
        <f t="shared" si="6"/>
        <v>2634093</v>
      </c>
      <c r="DD10" s="28">
        <f t="shared" si="1"/>
        <v>0</v>
      </c>
      <c r="DE10" s="28">
        <f t="shared" si="7"/>
        <v>2634093</v>
      </c>
      <c r="DF10" s="6">
        <f t="shared" si="8"/>
        <v>-26174.563808247913</v>
      </c>
      <c r="DM10" s="34"/>
      <c r="DN10" s="34"/>
    </row>
    <row r="11" spans="1:139" x14ac:dyDescent="0.2">
      <c r="A11">
        <v>204</v>
      </c>
      <c r="B11" t="s">
        <v>119</v>
      </c>
      <c r="C11" t="s">
        <v>7</v>
      </c>
      <c r="D11">
        <v>1</v>
      </c>
      <c r="E11">
        <v>711</v>
      </c>
      <c r="F11">
        <v>609</v>
      </c>
      <c r="G11">
        <v>560</v>
      </c>
      <c r="H11" s="50">
        <f t="shared" si="2"/>
        <v>49</v>
      </c>
      <c r="I11" s="4">
        <v>0.27285513361462727</v>
      </c>
      <c r="J11">
        <v>194</v>
      </c>
      <c r="K11" s="34">
        <v>198942.26</v>
      </c>
      <c r="L11" s="34">
        <v>0</v>
      </c>
      <c r="M11" s="34">
        <v>0</v>
      </c>
      <c r="N11" s="34">
        <v>71961.03</v>
      </c>
      <c r="O11" s="34">
        <v>9077.5499999999993</v>
      </c>
      <c r="P11" s="34">
        <v>79024.509999999995</v>
      </c>
      <c r="Q11" s="34">
        <v>60058.83</v>
      </c>
      <c r="R11" s="34">
        <v>204749.06</v>
      </c>
      <c r="S11" s="34">
        <v>113832.45</v>
      </c>
      <c r="T11" s="34">
        <v>341497.34</v>
      </c>
      <c r="U11" s="34">
        <v>0</v>
      </c>
      <c r="V11" s="34">
        <v>341497.34</v>
      </c>
      <c r="W11" s="34">
        <v>234998.56</v>
      </c>
      <c r="X11" s="34">
        <v>182773.8</v>
      </c>
      <c r="Y11" s="34">
        <v>0</v>
      </c>
      <c r="Z11" s="34">
        <v>0</v>
      </c>
      <c r="AA11" s="34">
        <v>0</v>
      </c>
      <c r="AB11" s="34">
        <v>0</v>
      </c>
      <c r="AC11" s="34">
        <v>0</v>
      </c>
      <c r="AD11" s="34">
        <v>0</v>
      </c>
      <c r="AE11" s="34">
        <v>0</v>
      </c>
      <c r="AF11" s="34">
        <v>3637557</v>
      </c>
      <c r="AG11" s="34">
        <v>231075</v>
      </c>
      <c r="AH11" s="34">
        <v>113832.45</v>
      </c>
      <c r="AI11" s="34">
        <v>227664.89</v>
      </c>
      <c r="AJ11" s="34">
        <v>682994.68</v>
      </c>
      <c r="AK11" s="34">
        <v>341497.34</v>
      </c>
      <c r="AL11" s="34">
        <v>195832.13</v>
      </c>
      <c r="AM11" s="34">
        <v>0</v>
      </c>
      <c r="AN11" s="34">
        <v>0</v>
      </c>
      <c r="AO11" s="34">
        <v>0</v>
      </c>
      <c r="AP11" s="34">
        <v>177398.1</v>
      </c>
      <c r="AQ11" s="34">
        <v>0</v>
      </c>
      <c r="AR11" s="34">
        <v>1935151.58</v>
      </c>
      <c r="AS11" s="34">
        <v>0</v>
      </c>
      <c r="AT11" s="34">
        <v>78332.850000000006</v>
      </c>
      <c r="AU11" s="34">
        <v>652251.6</v>
      </c>
      <c r="AV11" s="34">
        <v>13600</v>
      </c>
      <c r="AW11" s="34">
        <v>13600</v>
      </c>
      <c r="AX11" s="34">
        <v>10200</v>
      </c>
      <c r="AY11" s="34">
        <v>0</v>
      </c>
      <c r="AZ11" s="34">
        <v>13600</v>
      </c>
      <c r="BA11" s="34">
        <v>0</v>
      </c>
      <c r="BB11" s="34">
        <v>13600</v>
      </c>
      <c r="BC11" s="34">
        <v>90918.44</v>
      </c>
      <c r="BD11" s="34">
        <v>0</v>
      </c>
      <c r="BE11" s="34">
        <v>0</v>
      </c>
      <c r="BF11" s="34">
        <v>0</v>
      </c>
      <c r="BG11" s="34">
        <v>0</v>
      </c>
      <c r="BH11" s="34">
        <v>0</v>
      </c>
      <c r="BI11" s="34">
        <v>0</v>
      </c>
      <c r="BJ11" s="34">
        <v>0</v>
      </c>
      <c r="BK11" s="34">
        <v>0</v>
      </c>
      <c r="BL11" s="34">
        <v>0</v>
      </c>
      <c r="BM11" s="34">
        <v>0</v>
      </c>
      <c r="BN11" s="34">
        <v>0</v>
      </c>
      <c r="BO11" s="34">
        <v>0</v>
      </c>
      <c r="BP11" s="34">
        <v>103400</v>
      </c>
      <c r="BQ11" s="34">
        <v>0</v>
      </c>
      <c r="BR11" s="34">
        <v>0</v>
      </c>
      <c r="BS11" s="34">
        <v>0</v>
      </c>
      <c r="BT11" s="34">
        <v>0</v>
      </c>
      <c r="BU11" s="34">
        <v>0</v>
      </c>
      <c r="BV11" s="34">
        <v>0</v>
      </c>
      <c r="BW11" s="34">
        <v>0</v>
      </c>
      <c r="BX11" s="34">
        <v>0</v>
      </c>
      <c r="BY11" s="34">
        <v>0</v>
      </c>
      <c r="BZ11" s="34">
        <v>0</v>
      </c>
      <c r="CA11" s="34">
        <v>520405.78</v>
      </c>
      <c r="CB11" s="34">
        <v>0</v>
      </c>
      <c r="CC11" s="34">
        <v>0</v>
      </c>
      <c r="CD11" s="34">
        <v>0</v>
      </c>
      <c r="CE11" s="34">
        <v>0</v>
      </c>
      <c r="CF11" s="34">
        <v>0</v>
      </c>
      <c r="CJ11" s="28">
        <f t="shared" si="3"/>
        <v>10891324.569999997</v>
      </c>
      <c r="CK11" s="28">
        <v>113832</v>
      </c>
      <c r="CL11" s="28">
        <f>E11/400*CL$123</f>
        <v>281840.40000000002</v>
      </c>
      <c r="CM11" s="34">
        <f t="shared" si="0"/>
        <v>92387</v>
      </c>
      <c r="CN11" s="34">
        <f t="shared" si="4"/>
        <v>30170.464135021095</v>
      </c>
      <c r="CQ11" s="28">
        <f>IF('Gen ed tchrs'!$V7&gt;37,2*113832,IF('Gen ed tchrs'!$V7&gt;25,1.5*113832,113832))</f>
        <v>227664</v>
      </c>
      <c r="CR11" s="28">
        <f>IF('Gen ed tchrs'!$V7&gt;37,2*113832,IF('Gen ed tchrs'!$V7&gt;25,1.5*113832,113832))</f>
        <v>227664</v>
      </c>
      <c r="CS11" s="28">
        <f>IF('Gen ed tchrs'!$V7&gt;39.1,3.5*113832,IF('Gen ed tchrs'!$V7&gt;33.1,3*113832,IF('Gen ed tchrs'!$V7&gt;26.1,2.5*113832,IF('Gen ed tchrs'!$V7&gt;20.1,2*113832,IF('Gen ed tchrs'!$V7&gt;13.1,1.5*113832,113832)))))</f>
        <v>341496</v>
      </c>
      <c r="CT11" s="34">
        <f>VLOOKUP($A11,'PosxSchpostCouncil 22'!$A$6:$DP$121,94,FALSE)*CT$123</f>
        <v>156665.72</v>
      </c>
      <c r="CU11" s="28">
        <f>VLOOKUP($A11,'Gen ed tchrs'!A7:R122,18,FALSE)*CU$123</f>
        <v>3528805.9499999997</v>
      </c>
      <c r="CV11" s="28">
        <f>'Gen ed tchrs'!Z7*CV$123/2</f>
        <v>94872.232546875006</v>
      </c>
      <c r="DB11" s="28">
        <f t="shared" si="5"/>
        <v>5095397.7666818965</v>
      </c>
      <c r="DC11" s="28">
        <f t="shared" si="6"/>
        <v>3637557</v>
      </c>
      <c r="DD11" s="28">
        <f t="shared" si="1"/>
        <v>0</v>
      </c>
      <c r="DE11" s="28">
        <f t="shared" si="7"/>
        <v>3637557</v>
      </c>
      <c r="DF11" s="6">
        <f t="shared" si="8"/>
        <v>-1457840.7666818965</v>
      </c>
      <c r="DM11" s="34"/>
      <c r="DN11" s="34"/>
    </row>
    <row r="12" spans="1:139" x14ac:dyDescent="0.2">
      <c r="A12">
        <v>1058</v>
      </c>
      <c r="B12" t="s">
        <v>118</v>
      </c>
      <c r="C12" t="s">
        <v>1</v>
      </c>
      <c r="D12">
        <v>7</v>
      </c>
      <c r="E12">
        <v>500</v>
      </c>
      <c r="F12">
        <v>500</v>
      </c>
      <c r="G12">
        <v>385</v>
      </c>
      <c r="H12" s="50">
        <f t="shared" si="2"/>
        <v>115</v>
      </c>
      <c r="I12" s="4">
        <v>0.55200000000000005</v>
      </c>
      <c r="J12">
        <v>276</v>
      </c>
      <c r="K12" s="34">
        <v>198942.26</v>
      </c>
      <c r="L12" s="34">
        <v>0</v>
      </c>
      <c r="M12" s="34">
        <v>256849.86</v>
      </c>
      <c r="N12" s="34">
        <v>71961.03</v>
      </c>
      <c r="O12" s="34">
        <v>3918.72</v>
      </c>
      <c r="P12" s="34">
        <v>79024.509999999995</v>
      </c>
      <c r="Q12" s="34">
        <v>60058.83</v>
      </c>
      <c r="R12" s="34">
        <v>153561.79</v>
      </c>
      <c r="S12" s="34">
        <v>113832.45</v>
      </c>
      <c r="T12" s="34">
        <v>0</v>
      </c>
      <c r="U12" s="34">
        <v>0</v>
      </c>
      <c r="V12" s="34">
        <v>0</v>
      </c>
      <c r="W12" s="34">
        <v>0</v>
      </c>
      <c r="X12" s="34">
        <v>0</v>
      </c>
      <c r="Y12" s="34">
        <v>0</v>
      </c>
      <c r="Z12" s="34">
        <v>0</v>
      </c>
      <c r="AA12" s="34">
        <v>0</v>
      </c>
      <c r="AB12" s="34">
        <v>0</v>
      </c>
      <c r="AC12" s="34">
        <v>0</v>
      </c>
      <c r="AD12" s="34">
        <v>0</v>
      </c>
      <c r="AE12" s="34">
        <v>0</v>
      </c>
      <c r="AF12" s="34">
        <v>2986500</v>
      </c>
      <c r="AG12" s="34">
        <v>296500</v>
      </c>
      <c r="AH12" s="34">
        <v>170748.67</v>
      </c>
      <c r="AI12" s="34">
        <v>227664.89</v>
      </c>
      <c r="AJ12" s="34">
        <v>455329.78</v>
      </c>
      <c r="AK12" s="34">
        <v>0</v>
      </c>
      <c r="AL12" s="34">
        <v>0</v>
      </c>
      <c r="AM12" s="34">
        <v>0</v>
      </c>
      <c r="AN12" s="34">
        <v>0</v>
      </c>
      <c r="AO12" s="34">
        <v>0</v>
      </c>
      <c r="AP12" s="34">
        <v>62716.5</v>
      </c>
      <c r="AQ12" s="34">
        <v>0</v>
      </c>
      <c r="AR12" s="34">
        <v>0</v>
      </c>
      <c r="AS12" s="34">
        <v>15936.54</v>
      </c>
      <c r="AT12" s="34">
        <v>0</v>
      </c>
      <c r="AU12" s="34">
        <v>5375.7</v>
      </c>
      <c r="AV12" s="34">
        <v>0</v>
      </c>
      <c r="AW12" s="34">
        <v>0</v>
      </c>
      <c r="AX12" s="34">
        <v>0</v>
      </c>
      <c r="AY12" s="34">
        <v>25000</v>
      </c>
      <c r="AZ12" s="34">
        <v>0</v>
      </c>
      <c r="BA12" s="34">
        <v>0</v>
      </c>
      <c r="BB12" s="34">
        <v>0</v>
      </c>
      <c r="BC12" s="34">
        <v>140274.16</v>
      </c>
      <c r="BD12" s="34">
        <v>2259.4699999999998</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900000</v>
      </c>
      <c r="BW12" s="34">
        <v>0</v>
      </c>
      <c r="BX12" s="34">
        <v>0</v>
      </c>
      <c r="BY12" s="34">
        <v>0</v>
      </c>
      <c r="BZ12" s="34">
        <v>0</v>
      </c>
      <c r="CA12" s="34">
        <v>782620.54</v>
      </c>
      <c r="CB12" s="34">
        <v>90789.6</v>
      </c>
      <c r="CC12" s="34">
        <v>0</v>
      </c>
      <c r="CD12" s="34">
        <v>0</v>
      </c>
      <c r="CE12" s="34">
        <v>0</v>
      </c>
      <c r="CF12" s="34">
        <v>0</v>
      </c>
      <c r="CJ12" s="28">
        <f t="shared" si="3"/>
        <v>7099865.2999999998</v>
      </c>
      <c r="CK12" s="28">
        <v>113832</v>
      </c>
      <c r="CL12" s="28">
        <f>E12/300*CL$123</f>
        <v>264266.66666666669</v>
      </c>
      <c r="CM12" s="34">
        <f t="shared" si="0"/>
        <v>92387</v>
      </c>
      <c r="CN12" s="34">
        <f t="shared" si="4"/>
        <v>42902.400000000001</v>
      </c>
      <c r="CO12" s="28">
        <f>CO$123</f>
        <v>58500</v>
      </c>
      <c r="CP12" s="28">
        <f>CP$123</f>
        <v>70673</v>
      </c>
      <c r="CU12" s="28">
        <f>VLOOKUP($A12,'Gen ed tchrs'!A8:R123,18,FALSE)*CU$123</f>
        <v>3414973.5</v>
      </c>
      <c r="CV12" s="28">
        <f>'Gen ed tchrs'!Z8*CV$123/2</f>
        <v>99603.393750000003</v>
      </c>
      <c r="CW12" s="34">
        <v>119483</v>
      </c>
      <c r="DB12" s="28">
        <f t="shared" si="5"/>
        <v>4276620.9604166662</v>
      </c>
      <c r="DC12" s="28">
        <f t="shared" si="6"/>
        <v>3886500</v>
      </c>
      <c r="DD12" s="28">
        <f t="shared" si="1"/>
        <v>0</v>
      </c>
      <c r="DE12" s="28">
        <f t="shared" si="7"/>
        <v>3886500</v>
      </c>
      <c r="DF12" s="6">
        <f t="shared" si="8"/>
        <v>-390120.96041666623</v>
      </c>
      <c r="DM12" s="34"/>
      <c r="DN12" s="34"/>
    </row>
    <row r="13" spans="1:139" x14ac:dyDescent="0.2">
      <c r="A13">
        <v>205</v>
      </c>
      <c r="B13" t="s">
        <v>117</v>
      </c>
      <c r="C13" t="s">
        <v>7</v>
      </c>
      <c r="D13">
        <v>4</v>
      </c>
      <c r="E13">
        <v>601</v>
      </c>
      <c r="F13">
        <v>465</v>
      </c>
      <c r="G13">
        <v>503</v>
      </c>
      <c r="H13" s="50">
        <f t="shared" si="2"/>
        <v>-38</v>
      </c>
      <c r="I13" s="4">
        <v>0.43261231281198004</v>
      </c>
      <c r="J13">
        <v>260</v>
      </c>
      <c r="K13" s="34">
        <v>198942.26</v>
      </c>
      <c r="L13" s="34">
        <v>0</v>
      </c>
      <c r="M13" s="34">
        <v>0</v>
      </c>
      <c r="N13" s="34">
        <v>71961.03</v>
      </c>
      <c r="O13" s="34">
        <v>6801.95</v>
      </c>
      <c r="P13" s="34">
        <v>79024.509999999995</v>
      </c>
      <c r="Q13" s="34">
        <v>60058.83</v>
      </c>
      <c r="R13" s="34">
        <v>153561.79</v>
      </c>
      <c r="S13" s="34">
        <v>113832.45</v>
      </c>
      <c r="T13" s="34">
        <v>455329.78</v>
      </c>
      <c r="U13" s="34">
        <v>0</v>
      </c>
      <c r="V13" s="34">
        <v>455329.78</v>
      </c>
      <c r="W13" s="34">
        <v>313331.40999999997</v>
      </c>
      <c r="X13" s="34">
        <v>243698.4</v>
      </c>
      <c r="Y13" s="34">
        <v>0</v>
      </c>
      <c r="Z13" s="34">
        <v>0</v>
      </c>
      <c r="AA13" s="34">
        <v>0</v>
      </c>
      <c r="AB13" s="34">
        <v>0</v>
      </c>
      <c r="AC13" s="34">
        <v>0</v>
      </c>
      <c r="AD13" s="34">
        <v>0</v>
      </c>
      <c r="AE13" s="34">
        <v>0</v>
      </c>
      <c r="AF13" s="34">
        <v>2777445</v>
      </c>
      <c r="AG13" s="34">
        <v>195325</v>
      </c>
      <c r="AH13" s="34">
        <v>113832.45</v>
      </c>
      <c r="AI13" s="34">
        <v>227664.89</v>
      </c>
      <c r="AJ13" s="34">
        <v>569162.23</v>
      </c>
      <c r="AK13" s="34">
        <v>341497.34</v>
      </c>
      <c r="AL13" s="34">
        <v>234998.56</v>
      </c>
      <c r="AM13" s="34">
        <v>0</v>
      </c>
      <c r="AN13" s="34">
        <v>0</v>
      </c>
      <c r="AO13" s="34">
        <v>0</v>
      </c>
      <c r="AP13" s="34">
        <v>157687.20000000001</v>
      </c>
      <c r="AQ13" s="34">
        <v>0</v>
      </c>
      <c r="AR13" s="34">
        <v>1593654.25</v>
      </c>
      <c r="AS13" s="34">
        <v>0</v>
      </c>
      <c r="AT13" s="34">
        <v>39166.43</v>
      </c>
      <c r="AU13" s="34">
        <v>539361.9</v>
      </c>
      <c r="AV13" s="34">
        <v>34000</v>
      </c>
      <c r="AW13" s="34">
        <v>54400</v>
      </c>
      <c r="AX13" s="34">
        <v>0</v>
      </c>
      <c r="AY13" s="34">
        <v>0</v>
      </c>
      <c r="AZ13" s="34">
        <v>54400</v>
      </c>
      <c r="BA13" s="34">
        <v>10200</v>
      </c>
      <c r="BB13" s="34">
        <v>74800</v>
      </c>
      <c r="BC13" s="34">
        <v>185300.43</v>
      </c>
      <c r="BD13" s="34">
        <v>2984.73</v>
      </c>
      <c r="BE13" s="34">
        <v>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15325</v>
      </c>
      <c r="BV13" s="34">
        <v>0</v>
      </c>
      <c r="BW13" s="34">
        <v>0</v>
      </c>
      <c r="BX13" s="34">
        <v>0</v>
      </c>
      <c r="BY13" s="34">
        <v>0</v>
      </c>
      <c r="BZ13" s="34">
        <v>0</v>
      </c>
      <c r="CA13" s="34">
        <v>697451.04</v>
      </c>
      <c r="CB13" s="34">
        <v>23414.16</v>
      </c>
      <c r="CC13" s="34">
        <v>0</v>
      </c>
      <c r="CD13" s="34">
        <v>0</v>
      </c>
      <c r="CE13" s="34">
        <v>0</v>
      </c>
      <c r="CF13" s="34">
        <v>0</v>
      </c>
      <c r="CJ13" s="28">
        <f t="shared" si="3"/>
        <v>10093942.800000001</v>
      </c>
      <c r="CK13" s="28">
        <v>113832</v>
      </c>
      <c r="CL13" s="28">
        <f t="shared" ref="CL13:CL14" si="12">E13/400*CL$123</f>
        <v>238236.4</v>
      </c>
      <c r="CM13" s="34">
        <f t="shared" si="0"/>
        <v>92387</v>
      </c>
      <c r="CN13" s="34">
        <f t="shared" si="4"/>
        <v>35692.51247920133</v>
      </c>
      <c r="CQ13" s="28">
        <f>IF('Gen ed tchrs'!$V9&gt;37,2*113832,IF('Gen ed tchrs'!$V9&gt;25,1.5*113832,113832))</f>
        <v>170748</v>
      </c>
      <c r="CR13" s="28">
        <f>IF('Gen ed tchrs'!$V9&gt;37,2*113832,IF('Gen ed tchrs'!$V9&gt;25,1.5*113832,113832))</f>
        <v>170748</v>
      </c>
      <c r="CS13" s="28">
        <f>IF('Gen ed tchrs'!$V9&gt;39.1,3.5*113832,IF('Gen ed tchrs'!$V9&gt;33.1,3*113832,IF('Gen ed tchrs'!$V9&gt;26.1,2.5*113832,IF('Gen ed tchrs'!$V9&gt;20.1,2*113832,IF('Gen ed tchrs'!$V9&gt;13.1,1.5*113832,113832)))))</f>
        <v>284580</v>
      </c>
      <c r="CT13" s="34">
        <f>VLOOKUP($A13,'PosxSchpostCouncil 22'!$A$6:$DP$121,94,FALSE)*CT$123</f>
        <v>156665.72</v>
      </c>
      <c r="CU13" s="28">
        <f>VLOOKUP($A13,'Gen ed tchrs'!A9:R124,18,FALSE)*CU$123</f>
        <v>2731978.8</v>
      </c>
      <c r="CV13" s="28">
        <f>'Gen ed tchrs'!Z9*CV$123/2</f>
        <v>49694.978953124992</v>
      </c>
      <c r="DB13" s="28">
        <f t="shared" si="5"/>
        <v>4044563.4114323258</v>
      </c>
      <c r="DC13" s="28">
        <f t="shared" si="6"/>
        <v>2777445</v>
      </c>
      <c r="DD13" s="28">
        <f t="shared" si="1"/>
        <v>0</v>
      </c>
      <c r="DE13" s="28">
        <f t="shared" si="7"/>
        <v>2777445</v>
      </c>
      <c r="DF13" s="6">
        <f t="shared" si="8"/>
        <v>-1267118.4114323258</v>
      </c>
      <c r="DM13" s="34"/>
      <c r="DN13" s="34"/>
    </row>
    <row r="14" spans="1:139" x14ac:dyDescent="0.2">
      <c r="A14">
        <v>206</v>
      </c>
      <c r="B14" t="s">
        <v>116</v>
      </c>
      <c r="C14" t="s">
        <v>7</v>
      </c>
      <c r="D14">
        <v>7</v>
      </c>
      <c r="E14">
        <v>367</v>
      </c>
      <c r="F14">
        <v>288</v>
      </c>
      <c r="G14">
        <v>373</v>
      </c>
      <c r="H14" s="50">
        <f t="shared" si="2"/>
        <v>-85</v>
      </c>
      <c r="I14" s="4">
        <v>0.55858310626703001</v>
      </c>
      <c r="J14">
        <v>205</v>
      </c>
      <c r="K14" s="34">
        <v>198942.26</v>
      </c>
      <c r="L14" s="34">
        <v>0</v>
      </c>
      <c r="M14" s="34">
        <v>0</v>
      </c>
      <c r="N14" s="34">
        <v>71961.03</v>
      </c>
      <c r="O14" s="34">
        <v>6421.55</v>
      </c>
      <c r="P14" s="34">
        <v>79024.509999999995</v>
      </c>
      <c r="Q14" s="34">
        <v>60058.83</v>
      </c>
      <c r="R14" s="34">
        <v>102374.53</v>
      </c>
      <c r="S14" s="34">
        <v>113832.45</v>
      </c>
      <c r="T14" s="34">
        <v>227664.89</v>
      </c>
      <c r="U14" s="34">
        <v>113832.45</v>
      </c>
      <c r="V14" s="34">
        <v>227664.89</v>
      </c>
      <c r="W14" s="34">
        <v>195832.13</v>
      </c>
      <c r="X14" s="34">
        <v>141560.1</v>
      </c>
      <c r="Y14" s="34">
        <v>0</v>
      </c>
      <c r="Z14" s="34">
        <v>0</v>
      </c>
      <c r="AA14" s="34">
        <v>0</v>
      </c>
      <c r="AB14" s="34">
        <v>0</v>
      </c>
      <c r="AC14" s="34">
        <v>0</v>
      </c>
      <c r="AD14" s="34">
        <v>0</v>
      </c>
      <c r="AE14" s="34">
        <v>0</v>
      </c>
      <c r="AF14" s="34">
        <v>1720224</v>
      </c>
      <c r="AG14" s="34">
        <v>119275</v>
      </c>
      <c r="AH14" s="34">
        <v>113832.45</v>
      </c>
      <c r="AI14" s="34">
        <v>227664.89</v>
      </c>
      <c r="AJ14" s="34">
        <v>341497.34</v>
      </c>
      <c r="AK14" s="34">
        <v>682994.68</v>
      </c>
      <c r="AL14" s="34">
        <v>469997.12</v>
      </c>
      <c r="AM14" s="34">
        <v>0</v>
      </c>
      <c r="AN14" s="34">
        <v>0</v>
      </c>
      <c r="AO14" s="34">
        <v>119483.41</v>
      </c>
      <c r="AP14" s="34">
        <v>146935.79999999999</v>
      </c>
      <c r="AQ14" s="34">
        <v>0</v>
      </c>
      <c r="AR14" s="34">
        <v>0</v>
      </c>
      <c r="AS14" s="34">
        <v>5691.62</v>
      </c>
      <c r="AT14" s="34">
        <v>0</v>
      </c>
      <c r="AU14" s="34">
        <v>1791.9</v>
      </c>
      <c r="AV14" s="34">
        <v>27200</v>
      </c>
      <c r="AW14" s="34">
        <v>20400</v>
      </c>
      <c r="AX14" s="34">
        <v>10200</v>
      </c>
      <c r="AY14" s="34">
        <v>0</v>
      </c>
      <c r="AZ14" s="34">
        <v>47600</v>
      </c>
      <c r="BA14" s="34">
        <v>0</v>
      </c>
      <c r="BB14" s="34">
        <v>40800</v>
      </c>
      <c r="BC14" s="34">
        <v>180105.1</v>
      </c>
      <c r="BD14" s="34">
        <v>2901.05</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15325</v>
      </c>
      <c r="BV14" s="34">
        <v>0</v>
      </c>
      <c r="BW14" s="34">
        <v>0</v>
      </c>
      <c r="BX14" s="34">
        <v>0</v>
      </c>
      <c r="BY14" s="34">
        <v>0</v>
      </c>
      <c r="BZ14" s="34">
        <v>0</v>
      </c>
      <c r="CA14" s="34">
        <v>549913.31999999995</v>
      </c>
      <c r="CB14" s="34">
        <v>69525.72</v>
      </c>
      <c r="CC14" s="34">
        <v>357831.96</v>
      </c>
      <c r="CD14" s="34">
        <v>92197.09</v>
      </c>
      <c r="CE14" s="34">
        <v>0</v>
      </c>
      <c r="CF14" s="34">
        <v>346279.26</v>
      </c>
      <c r="CJ14" s="28">
        <f t="shared" si="3"/>
        <v>7248836.3300000001</v>
      </c>
      <c r="CK14" s="28">
        <v>113832</v>
      </c>
      <c r="CL14" s="28">
        <f t="shared" si="12"/>
        <v>145478.79999999999</v>
      </c>
      <c r="CM14" s="34">
        <f t="shared" si="0"/>
        <v>92387</v>
      </c>
      <c r="CN14" s="34">
        <f t="shared" si="4"/>
        <v>0</v>
      </c>
      <c r="CQ14" s="28">
        <f>IF('Gen ed tchrs'!$V10&gt;37,2*113832,IF('Gen ed tchrs'!$V10&gt;25,1.5*113832,113832))</f>
        <v>113832</v>
      </c>
      <c r="CR14" s="28">
        <f>IF('Gen ed tchrs'!$V10&gt;37,2*113832,IF('Gen ed tchrs'!$V10&gt;25,1.5*113832,113832))</f>
        <v>113832</v>
      </c>
      <c r="CS14" s="28">
        <f>IF('Gen ed tchrs'!$V10&gt;39.1,3.5*113832,IF('Gen ed tchrs'!$V10&gt;33.1,3*113832,IF('Gen ed tchrs'!$V10&gt;26.1,2.5*113832,IF('Gen ed tchrs'!$V10&gt;20.1,2*113832,IF('Gen ed tchrs'!$V10&gt;13.1,1.5*113832,113832)))))</f>
        <v>227664</v>
      </c>
      <c r="CT14" s="34">
        <f>VLOOKUP($A14,'PosxSchpostCouncil 22'!$A$6:$DP$121,94,FALSE)*CT$123</f>
        <v>117499.29000000001</v>
      </c>
      <c r="CU14" s="28">
        <f>VLOOKUP($A14,'Gen ed tchrs'!A10:R125,18,FALSE)*CU$123</f>
        <v>1821319.2</v>
      </c>
      <c r="CV14" s="28">
        <f>'Gen ed tchrs'!Z10*CV$123/2</f>
        <v>17750.747671875008</v>
      </c>
      <c r="DB14" s="28">
        <f t="shared" si="5"/>
        <v>2763595.0376718752</v>
      </c>
      <c r="DC14" s="28">
        <f t="shared" si="6"/>
        <v>1720224</v>
      </c>
      <c r="DD14" s="28">
        <f t="shared" si="1"/>
        <v>796308.31</v>
      </c>
      <c r="DE14" s="28">
        <f t="shared" si="7"/>
        <v>2516532.31</v>
      </c>
      <c r="DF14" s="6">
        <f t="shared" si="8"/>
        <v>-247062.72767187515</v>
      </c>
      <c r="DM14" s="34"/>
      <c r="DN14" s="34"/>
    </row>
    <row r="15" spans="1:139" x14ac:dyDescent="0.2">
      <c r="A15">
        <v>402</v>
      </c>
      <c r="B15" t="s">
        <v>115</v>
      </c>
      <c r="C15" t="s">
        <v>1</v>
      </c>
      <c r="D15">
        <v>1</v>
      </c>
      <c r="E15">
        <v>564</v>
      </c>
      <c r="F15">
        <v>564</v>
      </c>
      <c r="G15">
        <v>572</v>
      </c>
      <c r="H15" s="50">
        <f t="shared" si="2"/>
        <v>-8</v>
      </c>
      <c r="I15" s="4">
        <v>0.25709219858156029</v>
      </c>
      <c r="J15">
        <v>145</v>
      </c>
      <c r="K15" s="34">
        <v>198942.26</v>
      </c>
      <c r="L15" s="34">
        <v>0</v>
      </c>
      <c r="M15" s="34">
        <v>321062.33</v>
      </c>
      <c r="N15" s="34">
        <v>71961.03</v>
      </c>
      <c r="O15" s="34">
        <v>14706</v>
      </c>
      <c r="P15" s="34">
        <v>79024.509999999995</v>
      </c>
      <c r="Q15" s="34">
        <v>60058.83</v>
      </c>
      <c r="R15" s="34">
        <v>255936.32</v>
      </c>
      <c r="S15" s="34">
        <v>113832.45</v>
      </c>
      <c r="T15" s="34">
        <v>0</v>
      </c>
      <c r="U15" s="34">
        <v>0</v>
      </c>
      <c r="V15" s="34">
        <v>0</v>
      </c>
      <c r="W15" s="34">
        <v>0</v>
      </c>
      <c r="X15" s="34">
        <v>0</v>
      </c>
      <c r="Y15" s="34">
        <v>0</v>
      </c>
      <c r="Z15" s="34">
        <v>0</v>
      </c>
      <c r="AA15" s="34">
        <v>0</v>
      </c>
      <c r="AB15" s="34">
        <v>0</v>
      </c>
      <c r="AC15" s="34">
        <v>0</v>
      </c>
      <c r="AD15" s="34">
        <v>0</v>
      </c>
      <c r="AE15" s="34">
        <v>0</v>
      </c>
      <c r="AF15" s="34">
        <v>3368772</v>
      </c>
      <c r="AG15" s="34">
        <v>334452</v>
      </c>
      <c r="AH15" s="34">
        <v>113832.45</v>
      </c>
      <c r="AI15" s="34">
        <v>113832.45</v>
      </c>
      <c r="AJ15" s="34">
        <v>113832.45</v>
      </c>
      <c r="AK15" s="34">
        <v>0</v>
      </c>
      <c r="AL15" s="34">
        <v>0</v>
      </c>
      <c r="AM15" s="34">
        <v>0</v>
      </c>
      <c r="AN15" s="34">
        <v>0</v>
      </c>
      <c r="AO15" s="34">
        <v>0</v>
      </c>
      <c r="AP15" s="34">
        <v>7167.6</v>
      </c>
      <c r="AQ15" s="34">
        <v>0</v>
      </c>
      <c r="AR15" s="34">
        <v>0</v>
      </c>
      <c r="AS15" s="34">
        <v>36426.379999999997</v>
      </c>
      <c r="AT15" s="34">
        <v>0</v>
      </c>
      <c r="AU15" s="34">
        <v>12543.3</v>
      </c>
      <c r="AV15" s="34">
        <v>0</v>
      </c>
      <c r="AW15" s="34">
        <v>0</v>
      </c>
      <c r="AX15" s="34">
        <v>0</v>
      </c>
      <c r="AY15" s="34">
        <v>0</v>
      </c>
      <c r="AZ15" s="34">
        <v>0</v>
      </c>
      <c r="BA15" s="34">
        <v>0</v>
      </c>
      <c r="BB15" s="34">
        <v>0</v>
      </c>
      <c r="BC15" s="34">
        <v>0</v>
      </c>
      <c r="BD15" s="34">
        <v>0</v>
      </c>
      <c r="BE15" s="34">
        <v>14100</v>
      </c>
      <c r="BF15" s="34">
        <v>0</v>
      </c>
      <c r="BG15" s="34">
        <v>0</v>
      </c>
      <c r="BH15" s="34">
        <v>0</v>
      </c>
      <c r="BI15" s="34">
        <v>0</v>
      </c>
      <c r="BJ15" s="34">
        <v>0</v>
      </c>
      <c r="BK15" s="34">
        <v>119483.41</v>
      </c>
      <c r="BL15" s="34">
        <v>29430</v>
      </c>
      <c r="BM15" s="34">
        <v>0</v>
      </c>
      <c r="BN15" s="34">
        <v>0</v>
      </c>
      <c r="BO15" s="34">
        <v>0</v>
      </c>
      <c r="BP15" s="34">
        <v>0</v>
      </c>
      <c r="BQ15" s="34">
        <v>0</v>
      </c>
      <c r="BR15" s="34">
        <v>0</v>
      </c>
      <c r="BS15" s="34">
        <v>0</v>
      </c>
      <c r="BT15" s="34">
        <v>0</v>
      </c>
      <c r="BU15" s="34">
        <v>0</v>
      </c>
      <c r="BV15" s="34">
        <v>690480</v>
      </c>
      <c r="BW15" s="34">
        <v>0</v>
      </c>
      <c r="BX15" s="34">
        <v>0</v>
      </c>
      <c r="BY15" s="34">
        <v>0</v>
      </c>
      <c r="BZ15" s="34">
        <v>0</v>
      </c>
      <c r="CA15" s="34">
        <v>398351.84</v>
      </c>
      <c r="CB15" s="34">
        <v>0</v>
      </c>
      <c r="CC15" s="34">
        <v>0</v>
      </c>
      <c r="CD15" s="34">
        <v>181663.35</v>
      </c>
      <c r="CE15" s="34">
        <v>0</v>
      </c>
      <c r="CF15" s="34">
        <v>0</v>
      </c>
      <c r="CJ15" s="28">
        <f t="shared" si="3"/>
        <v>6649890.96</v>
      </c>
      <c r="CK15" s="28">
        <v>113832</v>
      </c>
      <c r="CL15" s="28">
        <f>E15/300*CL$123</f>
        <v>298092.79999999999</v>
      </c>
      <c r="CM15" s="34">
        <f t="shared" si="0"/>
        <v>92387</v>
      </c>
      <c r="CN15" s="34">
        <f t="shared" si="4"/>
        <v>38034.042553191488</v>
      </c>
      <c r="CO15" s="28">
        <f>CO$123</f>
        <v>58500</v>
      </c>
      <c r="CP15" s="28">
        <f>CP$123</f>
        <v>70673</v>
      </c>
      <c r="CU15" s="28">
        <f>VLOOKUP($A15,'Gen ed tchrs'!A11:R126,18,FALSE)*CU$123</f>
        <v>3870303.3</v>
      </c>
      <c r="CV15" s="28">
        <f>'Gen ed tchrs'!Z11*CV$123/2</f>
        <v>90496.797749999983</v>
      </c>
      <c r="CW15" s="34">
        <v>119483</v>
      </c>
      <c r="DB15" s="28">
        <f t="shared" si="5"/>
        <v>4751801.9403031915</v>
      </c>
      <c r="DC15" s="28">
        <f t="shared" si="6"/>
        <v>4059252</v>
      </c>
      <c r="DD15" s="28">
        <f t="shared" si="1"/>
        <v>181663.35</v>
      </c>
      <c r="DE15" s="28">
        <f t="shared" si="7"/>
        <v>4240915.3499999996</v>
      </c>
      <c r="DF15" s="6">
        <f t="shared" si="8"/>
        <v>-510886.59030319192</v>
      </c>
      <c r="DM15" s="34"/>
      <c r="DN15" s="34"/>
    </row>
    <row r="16" spans="1:139" x14ac:dyDescent="0.2">
      <c r="A16">
        <v>291</v>
      </c>
      <c r="B16" t="s">
        <v>114</v>
      </c>
      <c r="C16" t="s">
        <v>7</v>
      </c>
      <c r="D16">
        <v>8</v>
      </c>
      <c r="E16">
        <v>437</v>
      </c>
      <c r="F16">
        <v>337</v>
      </c>
      <c r="G16">
        <v>335</v>
      </c>
      <c r="H16" s="50">
        <f t="shared" si="2"/>
        <v>2</v>
      </c>
      <c r="I16" s="4">
        <v>0.75286041189931352</v>
      </c>
      <c r="J16">
        <v>329</v>
      </c>
      <c r="K16" s="34">
        <v>198942.26</v>
      </c>
      <c r="L16" s="34">
        <v>0</v>
      </c>
      <c r="M16" s="34">
        <v>0</v>
      </c>
      <c r="N16" s="34">
        <v>71961.03</v>
      </c>
      <c r="O16" s="34">
        <v>6251</v>
      </c>
      <c r="P16" s="34">
        <v>79024.509999999995</v>
      </c>
      <c r="Q16" s="34">
        <v>60058.83</v>
      </c>
      <c r="R16" s="34">
        <v>102374.53</v>
      </c>
      <c r="S16" s="34">
        <v>113832.45</v>
      </c>
      <c r="T16" s="34">
        <v>341497.34</v>
      </c>
      <c r="U16" s="34">
        <v>0</v>
      </c>
      <c r="V16" s="34">
        <v>341497.34</v>
      </c>
      <c r="W16" s="34">
        <v>234998.56</v>
      </c>
      <c r="X16" s="34">
        <v>179190</v>
      </c>
      <c r="Y16" s="34">
        <v>0</v>
      </c>
      <c r="Z16" s="34">
        <v>0</v>
      </c>
      <c r="AA16" s="34">
        <v>0</v>
      </c>
      <c r="AB16" s="34">
        <v>0</v>
      </c>
      <c r="AC16" s="34">
        <v>0</v>
      </c>
      <c r="AD16" s="34">
        <v>0</v>
      </c>
      <c r="AE16" s="34">
        <v>0</v>
      </c>
      <c r="AF16" s="34">
        <v>2012901</v>
      </c>
      <c r="AG16" s="34">
        <v>142025</v>
      </c>
      <c r="AH16" s="34">
        <v>113832.45</v>
      </c>
      <c r="AI16" s="34">
        <v>227664.89</v>
      </c>
      <c r="AJ16" s="34">
        <v>341497.34</v>
      </c>
      <c r="AK16" s="34">
        <v>341497.34</v>
      </c>
      <c r="AL16" s="34">
        <v>234998.56</v>
      </c>
      <c r="AM16" s="34">
        <v>0</v>
      </c>
      <c r="AN16" s="34">
        <v>0</v>
      </c>
      <c r="AO16" s="34">
        <v>0</v>
      </c>
      <c r="AP16" s="34">
        <v>114681.60000000001</v>
      </c>
      <c r="AQ16" s="34">
        <v>0</v>
      </c>
      <c r="AR16" s="34">
        <v>0</v>
      </c>
      <c r="AS16" s="34">
        <v>15936.54</v>
      </c>
      <c r="AT16" s="34">
        <v>0</v>
      </c>
      <c r="AU16" s="34">
        <v>5375.7</v>
      </c>
      <c r="AV16" s="34">
        <v>20400</v>
      </c>
      <c r="AW16" s="34">
        <v>20400</v>
      </c>
      <c r="AX16" s="34">
        <v>10200</v>
      </c>
      <c r="AY16" s="34">
        <v>0</v>
      </c>
      <c r="AZ16" s="34">
        <v>20400</v>
      </c>
      <c r="BA16" s="34">
        <v>0</v>
      </c>
      <c r="BB16" s="34">
        <v>20400</v>
      </c>
      <c r="BC16" s="34">
        <v>236496.17</v>
      </c>
      <c r="BD16" s="34">
        <v>3809.37</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882543.82</v>
      </c>
      <c r="CB16" s="34">
        <v>184207.32</v>
      </c>
      <c r="CC16" s="34">
        <v>0</v>
      </c>
      <c r="CD16" s="34">
        <v>0</v>
      </c>
      <c r="CE16" s="34">
        <v>49398.27</v>
      </c>
      <c r="CF16" s="34">
        <v>0</v>
      </c>
      <c r="CJ16" s="28">
        <f t="shared" si="3"/>
        <v>6728293.2199999997</v>
      </c>
      <c r="CK16" s="28">
        <v>113832</v>
      </c>
      <c r="CL16" s="28">
        <f t="shared" ref="CL16:CL18" si="13">E16/400*CL$123</f>
        <v>173226.80000000002</v>
      </c>
      <c r="CM16" s="34">
        <f t="shared" si="0"/>
        <v>92387</v>
      </c>
      <c r="CN16" s="34">
        <f t="shared" si="4"/>
        <v>49087.414187643022</v>
      </c>
      <c r="CQ16" s="28">
        <f>IF('Gen ed tchrs'!$V12&gt;37,2*113832,IF('Gen ed tchrs'!$V12&gt;25,1.5*113832,113832))</f>
        <v>113832</v>
      </c>
      <c r="CR16" s="28">
        <f>IF('Gen ed tchrs'!$V12&gt;37,2*113832,IF('Gen ed tchrs'!$V12&gt;25,1.5*113832,113832))</f>
        <v>113832</v>
      </c>
      <c r="CS16" s="28">
        <f>IF('Gen ed tchrs'!$V12&gt;39.1,3.5*113832,IF('Gen ed tchrs'!$V12&gt;33.1,3*113832,IF('Gen ed tchrs'!$V12&gt;26.1,2.5*113832,IF('Gen ed tchrs'!$V12&gt;20.1,2*113832,IF('Gen ed tchrs'!$V12&gt;13.1,1.5*113832,113832)))))</f>
        <v>227664</v>
      </c>
      <c r="CT16" s="34">
        <f>VLOOKUP($A16,'PosxSchpostCouncil 22'!$A$6:$DP$121,94,FALSE)*CT$123</f>
        <v>117499.29000000001</v>
      </c>
      <c r="CU16" s="28">
        <f>VLOOKUP($A16,'Gen ed tchrs'!A12:R127,18,FALSE)*CU$123</f>
        <v>2048984.0999999999</v>
      </c>
      <c r="CV16" s="28">
        <f>'Gen ed tchrs'!Z12*CV$123/2</f>
        <v>67196.718140625002</v>
      </c>
      <c r="DB16" s="28">
        <f t="shared" si="5"/>
        <v>3117541.3223282681</v>
      </c>
      <c r="DC16" s="28">
        <f t="shared" si="6"/>
        <v>2012901</v>
      </c>
      <c r="DD16" s="28">
        <f t="shared" si="1"/>
        <v>49398.27</v>
      </c>
      <c r="DE16" s="28">
        <f t="shared" si="7"/>
        <v>2062299.27</v>
      </c>
      <c r="DF16" s="6">
        <f t="shared" si="8"/>
        <v>-1055242.0523282681</v>
      </c>
      <c r="DM16" s="34"/>
      <c r="DN16" s="34"/>
    </row>
    <row r="17" spans="1:118" x14ac:dyDescent="0.2">
      <c r="A17">
        <v>212</v>
      </c>
      <c r="B17" t="s">
        <v>113</v>
      </c>
      <c r="C17" t="s">
        <v>7</v>
      </c>
      <c r="D17">
        <v>6</v>
      </c>
      <c r="E17">
        <v>428</v>
      </c>
      <c r="F17">
        <v>364</v>
      </c>
      <c r="G17">
        <v>382</v>
      </c>
      <c r="H17" s="50">
        <f t="shared" si="2"/>
        <v>-18</v>
      </c>
      <c r="I17" s="4">
        <v>5.1401869158878503E-2</v>
      </c>
      <c r="J17">
        <v>22</v>
      </c>
      <c r="K17" s="34">
        <v>198942.26</v>
      </c>
      <c r="L17" s="34">
        <v>0</v>
      </c>
      <c r="M17" s="34">
        <v>0</v>
      </c>
      <c r="N17" s="34">
        <v>71961.03</v>
      </c>
      <c r="O17" s="34">
        <v>4794.3999999999996</v>
      </c>
      <c r="P17" s="34">
        <v>79024.509999999995</v>
      </c>
      <c r="Q17" s="34">
        <v>60058.83</v>
      </c>
      <c r="R17" s="34">
        <v>102374.53</v>
      </c>
      <c r="S17" s="34">
        <v>113832.45</v>
      </c>
      <c r="T17" s="34">
        <v>0</v>
      </c>
      <c r="U17" s="34">
        <v>455329.78</v>
      </c>
      <c r="V17" s="34">
        <v>0</v>
      </c>
      <c r="W17" s="34">
        <v>156665.71</v>
      </c>
      <c r="X17" s="34">
        <v>114681.60000000001</v>
      </c>
      <c r="Y17" s="34">
        <v>0</v>
      </c>
      <c r="Z17" s="34">
        <v>0</v>
      </c>
      <c r="AA17" s="34">
        <v>0</v>
      </c>
      <c r="AB17" s="34">
        <v>0</v>
      </c>
      <c r="AC17" s="34">
        <v>0</v>
      </c>
      <c r="AD17" s="34">
        <v>0</v>
      </c>
      <c r="AE17" s="34">
        <v>0</v>
      </c>
      <c r="AF17" s="34">
        <v>2174172</v>
      </c>
      <c r="AG17" s="34">
        <v>139100</v>
      </c>
      <c r="AH17" s="34">
        <v>113832.45</v>
      </c>
      <c r="AI17" s="34">
        <v>113832.45</v>
      </c>
      <c r="AJ17" s="34">
        <v>341497.34</v>
      </c>
      <c r="AK17" s="34">
        <v>0</v>
      </c>
      <c r="AL17" s="34">
        <v>0</v>
      </c>
      <c r="AM17" s="34">
        <v>0</v>
      </c>
      <c r="AN17" s="34">
        <v>0</v>
      </c>
      <c r="AO17" s="34">
        <v>0</v>
      </c>
      <c r="AP17" s="34">
        <v>87803.1</v>
      </c>
      <c r="AQ17" s="34">
        <v>0</v>
      </c>
      <c r="AR17" s="34">
        <v>113832.45</v>
      </c>
      <c r="AS17" s="34">
        <v>0</v>
      </c>
      <c r="AT17" s="34">
        <v>0</v>
      </c>
      <c r="AU17" s="34">
        <v>30462.3</v>
      </c>
      <c r="AV17" s="34">
        <v>0</v>
      </c>
      <c r="AW17" s="34">
        <v>0</v>
      </c>
      <c r="AX17" s="34">
        <v>0</v>
      </c>
      <c r="AY17" s="34">
        <v>0</v>
      </c>
      <c r="AZ17" s="34">
        <v>0</v>
      </c>
      <c r="BA17" s="34">
        <v>0</v>
      </c>
      <c r="BB17" s="34">
        <v>0</v>
      </c>
      <c r="BC17" s="34">
        <v>0</v>
      </c>
      <c r="BD17" s="34">
        <v>0</v>
      </c>
      <c r="BE17" s="34">
        <v>10700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59015.09</v>
      </c>
      <c r="CB17" s="34">
        <v>0</v>
      </c>
      <c r="CC17" s="34">
        <v>262206.31</v>
      </c>
      <c r="CD17" s="34">
        <v>271874.07</v>
      </c>
      <c r="CE17" s="34">
        <v>366299.78</v>
      </c>
      <c r="CF17" s="34">
        <v>73707.88</v>
      </c>
      <c r="CJ17" s="28">
        <f t="shared" si="3"/>
        <v>5516000.3200000003</v>
      </c>
      <c r="CK17" s="28">
        <v>113832</v>
      </c>
      <c r="CL17" s="28">
        <f t="shared" si="13"/>
        <v>169659.2</v>
      </c>
      <c r="CM17" s="34">
        <f t="shared" si="0"/>
        <v>92387</v>
      </c>
      <c r="CN17" s="34">
        <f t="shared" si="4"/>
        <v>50119.626168224298</v>
      </c>
      <c r="CQ17" s="28">
        <f>IF('Gen ed tchrs'!$V13&gt;37,2*113832,IF('Gen ed tchrs'!$V13&gt;25,1.5*113832,113832))</f>
        <v>113832</v>
      </c>
      <c r="CR17" s="28">
        <f>IF('Gen ed tchrs'!$V13&gt;37,2*113832,IF('Gen ed tchrs'!$V13&gt;25,1.5*113832,113832))</f>
        <v>113832</v>
      </c>
      <c r="CS17" s="28">
        <f>IF('Gen ed tchrs'!$V13&gt;39.1,3.5*113832,IF('Gen ed tchrs'!$V13&gt;33.1,3*113832,IF('Gen ed tchrs'!$V13&gt;26.1,2.5*113832,IF('Gen ed tchrs'!$V13&gt;20.1,2*113832,IF('Gen ed tchrs'!$V13&gt;13.1,1.5*113832,113832)))))</f>
        <v>227664</v>
      </c>
      <c r="CT17" s="34">
        <f>VLOOKUP($A17,'PosxSchpostCouncil 22'!$A$6:$DP$121,94,FALSE)*CT$123</f>
        <v>117499.29000000001</v>
      </c>
      <c r="CU17" s="28">
        <f>VLOOKUP($A17,'Gen ed tchrs'!A13:R128,18,FALSE)*CU$123</f>
        <v>2162816.5499999998</v>
      </c>
      <c r="CV17" s="28">
        <f>'Gen ed tchrs'!Z13*CV$123/2</f>
        <v>68157.179437500003</v>
      </c>
      <c r="DB17" s="28">
        <f t="shared" si="5"/>
        <v>3229798.845605724</v>
      </c>
      <c r="DC17" s="28">
        <f t="shared" si="6"/>
        <v>2174172</v>
      </c>
      <c r="DD17" s="28">
        <f t="shared" si="1"/>
        <v>974088.04</v>
      </c>
      <c r="DE17" s="28">
        <f t="shared" si="7"/>
        <v>3148260.04</v>
      </c>
      <c r="DF17" s="6">
        <f t="shared" si="8"/>
        <v>-81538.805605723988</v>
      </c>
      <c r="DM17" s="34"/>
      <c r="DN17" s="34"/>
    </row>
    <row r="18" spans="1:118" x14ac:dyDescent="0.2">
      <c r="A18">
        <v>213</v>
      </c>
      <c r="B18" t="s">
        <v>360</v>
      </c>
      <c r="C18" t="s">
        <v>7</v>
      </c>
      <c r="D18">
        <v>4</v>
      </c>
      <c r="E18">
        <v>596</v>
      </c>
      <c r="F18">
        <v>495</v>
      </c>
      <c r="G18">
        <v>466</v>
      </c>
      <c r="H18" s="50">
        <f t="shared" si="2"/>
        <v>29</v>
      </c>
      <c r="I18" s="4">
        <v>0.40604026845637586</v>
      </c>
      <c r="J18">
        <v>242</v>
      </c>
      <c r="K18" s="34">
        <v>198942.26</v>
      </c>
      <c r="L18" s="34">
        <v>0</v>
      </c>
      <c r="M18" s="34">
        <v>0</v>
      </c>
      <c r="N18" s="34">
        <v>71961.03</v>
      </c>
      <c r="O18" s="34">
        <v>6877.6</v>
      </c>
      <c r="P18" s="34">
        <v>79024.509999999995</v>
      </c>
      <c r="Q18" s="34">
        <v>60058.83</v>
      </c>
      <c r="R18" s="34">
        <v>153561.79</v>
      </c>
      <c r="S18" s="34">
        <v>113832.45</v>
      </c>
      <c r="T18" s="34">
        <v>341497.34</v>
      </c>
      <c r="U18" s="34">
        <v>0</v>
      </c>
      <c r="V18" s="34">
        <v>341497.34</v>
      </c>
      <c r="W18" s="34">
        <v>234998.56</v>
      </c>
      <c r="X18" s="34">
        <v>180981.9</v>
      </c>
      <c r="Y18" s="34">
        <v>0</v>
      </c>
      <c r="Z18" s="34">
        <v>0</v>
      </c>
      <c r="AA18" s="34">
        <v>0</v>
      </c>
      <c r="AB18" s="34">
        <v>0</v>
      </c>
      <c r="AC18" s="34">
        <v>0</v>
      </c>
      <c r="AD18" s="34">
        <v>0</v>
      </c>
      <c r="AE18" s="34">
        <v>0</v>
      </c>
      <c r="AF18" s="34">
        <v>2956635</v>
      </c>
      <c r="AG18" s="34">
        <v>193700</v>
      </c>
      <c r="AH18" s="34">
        <v>113832.45</v>
      </c>
      <c r="AI18" s="34">
        <v>341497.34</v>
      </c>
      <c r="AJ18" s="34">
        <v>910659.57</v>
      </c>
      <c r="AK18" s="34">
        <v>341497.34</v>
      </c>
      <c r="AL18" s="34">
        <v>234998.56</v>
      </c>
      <c r="AM18" s="34">
        <v>0</v>
      </c>
      <c r="AN18" s="34">
        <v>0</v>
      </c>
      <c r="AO18" s="34">
        <v>0</v>
      </c>
      <c r="AP18" s="34">
        <v>200692.8</v>
      </c>
      <c r="AQ18" s="34">
        <v>0</v>
      </c>
      <c r="AR18" s="34">
        <v>2731978.71</v>
      </c>
      <c r="AS18" s="34">
        <v>0</v>
      </c>
      <c r="AT18" s="34">
        <v>117499.28</v>
      </c>
      <c r="AU18" s="34">
        <v>942539.4</v>
      </c>
      <c r="AV18" s="34">
        <v>34000</v>
      </c>
      <c r="AW18" s="34">
        <v>34000</v>
      </c>
      <c r="AX18" s="34">
        <v>10200</v>
      </c>
      <c r="AY18" s="34">
        <v>0</v>
      </c>
      <c r="AZ18" s="34">
        <v>27200</v>
      </c>
      <c r="BA18" s="34">
        <v>0</v>
      </c>
      <c r="BB18" s="34">
        <v>27200</v>
      </c>
      <c r="BC18" s="34">
        <v>166250.85999999999</v>
      </c>
      <c r="BD18" s="34">
        <v>2677.89</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15325</v>
      </c>
      <c r="BV18" s="34">
        <v>0</v>
      </c>
      <c r="BW18" s="34">
        <v>0</v>
      </c>
      <c r="BX18" s="34">
        <v>0</v>
      </c>
      <c r="BY18" s="34">
        <v>0</v>
      </c>
      <c r="BZ18" s="34">
        <v>0</v>
      </c>
      <c r="CA18" s="34">
        <v>649165.97</v>
      </c>
      <c r="CB18" s="34">
        <v>4300.5600000000004</v>
      </c>
      <c r="CC18" s="34">
        <v>0</v>
      </c>
      <c r="CD18" s="34">
        <v>0</v>
      </c>
      <c r="CE18" s="34">
        <v>0</v>
      </c>
      <c r="CF18" s="34">
        <v>0</v>
      </c>
      <c r="CJ18" s="28">
        <f t="shared" si="3"/>
        <v>11839084.34</v>
      </c>
      <c r="CK18" s="28">
        <v>113832</v>
      </c>
      <c r="CL18" s="28">
        <f t="shared" si="13"/>
        <v>236254.4</v>
      </c>
      <c r="CM18" s="34">
        <f t="shared" si="0"/>
        <v>92387</v>
      </c>
      <c r="CN18" s="34">
        <f t="shared" si="4"/>
        <v>35991.946308724837</v>
      </c>
      <c r="CQ18" s="28">
        <f>IF('Gen ed tchrs'!$V14&gt;37,2*113832,IF('Gen ed tchrs'!$V14&gt;25,1.5*113832,113832))</f>
        <v>170748</v>
      </c>
      <c r="CR18" s="28">
        <f>IF('Gen ed tchrs'!$V14&gt;37,2*113832,IF('Gen ed tchrs'!$V14&gt;25,1.5*113832,113832))</f>
        <v>170748</v>
      </c>
      <c r="CS18" s="28">
        <f>IF('Gen ed tchrs'!$V14&gt;39.1,3.5*113832,IF('Gen ed tchrs'!$V14&gt;33.1,3*113832,IF('Gen ed tchrs'!$V14&gt;26.1,2.5*113832,IF('Gen ed tchrs'!$V14&gt;20.1,2*113832,IF('Gen ed tchrs'!$V14&gt;13.1,1.5*113832,113832)))))</f>
        <v>284580</v>
      </c>
      <c r="CT18" s="34">
        <f>VLOOKUP($A18,'PosxSchpostCouncil 22'!$A$6:$DP$121,94,FALSE)*CT$123</f>
        <v>156665.72</v>
      </c>
      <c r="CU18" s="28">
        <f>VLOOKUP($A18,'Gen ed tchrs'!A14:R129,18,FALSE)*CU$123</f>
        <v>2845811.25</v>
      </c>
      <c r="CV18" s="28">
        <f>'Gen ed tchrs'!Z14*CV$123/2</f>
        <v>107144.79356250001</v>
      </c>
      <c r="CY18" t="s">
        <v>361</v>
      </c>
      <c r="DB18" s="28">
        <f t="shared" si="5"/>
        <v>4214163.1098712245</v>
      </c>
      <c r="DC18" s="28">
        <f t="shared" si="6"/>
        <v>2956635</v>
      </c>
      <c r="DD18" s="28">
        <f t="shared" si="1"/>
        <v>0</v>
      </c>
      <c r="DE18" s="28">
        <f t="shared" si="7"/>
        <v>2956635</v>
      </c>
      <c r="DF18" s="6">
        <f t="shared" si="8"/>
        <v>-1257528.1098712245</v>
      </c>
      <c r="DM18" s="34"/>
      <c r="DN18" s="34"/>
    </row>
    <row r="19" spans="1:118" x14ac:dyDescent="0.2">
      <c r="A19">
        <v>347</v>
      </c>
      <c r="B19" t="s">
        <v>111</v>
      </c>
      <c r="C19" t="s">
        <v>19</v>
      </c>
      <c r="D19">
        <v>5</v>
      </c>
      <c r="E19">
        <v>329</v>
      </c>
      <c r="F19">
        <v>329</v>
      </c>
      <c r="G19">
        <v>359</v>
      </c>
      <c r="H19" s="50">
        <f t="shared" si="2"/>
        <v>-30</v>
      </c>
      <c r="I19" s="4">
        <v>0.54407294832826747</v>
      </c>
      <c r="J19">
        <v>179</v>
      </c>
      <c r="K19" s="34">
        <v>198942.26</v>
      </c>
      <c r="L19" s="34">
        <v>113832.45</v>
      </c>
      <c r="M19" s="34">
        <v>0</v>
      </c>
      <c r="N19" s="34">
        <v>71961.03</v>
      </c>
      <c r="O19" s="34">
        <v>8948.1</v>
      </c>
      <c r="P19" s="34">
        <v>79024.509999999995</v>
      </c>
      <c r="Q19" s="34">
        <v>60058.83</v>
      </c>
      <c r="R19" s="34">
        <v>153561.79</v>
      </c>
      <c r="S19" s="34">
        <v>113832.45</v>
      </c>
      <c r="T19" s="34">
        <v>0</v>
      </c>
      <c r="U19" s="34">
        <v>0</v>
      </c>
      <c r="V19" s="34">
        <v>0</v>
      </c>
      <c r="W19" s="34">
        <v>0</v>
      </c>
      <c r="X19" s="34">
        <v>0</v>
      </c>
      <c r="Y19" s="34">
        <v>0</v>
      </c>
      <c r="Z19" s="34">
        <v>0</v>
      </c>
      <c r="AA19" s="34">
        <v>0</v>
      </c>
      <c r="AB19" s="34">
        <v>0</v>
      </c>
      <c r="AC19" s="34">
        <v>0</v>
      </c>
      <c r="AD19" s="34">
        <v>0</v>
      </c>
      <c r="AE19" s="34">
        <v>0</v>
      </c>
      <c r="AF19" s="34">
        <v>1965117</v>
      </c>
      <c r="AG19" s="34">
        <v>112518</v>
      </c>
      <c r="AH19" s="34">
        <v>113832.45</v>
      </c>
      <c r="AI19" s="34">
        <v>227664.89</v>
      </c>
      <c r="AJ19" s="34">
        <v>682994.68</v>
      </c>
      <c r="AK19" s="34">
        <v>455329.78</v>
      </c>
      <c r="AL19" s="34">
        <v>234998.56</v>
      </c>
      <c r="AM19" s="34">
        <v>0</v>
      </c>
      <c r="AN19" s="34">
        <v>0</v>
      </c>
      <c r="AO19" s="34">
        <v>0</v>
      </c>
      <c r="AP19" s="34">
        <v>123641.1</v>
      </c>
      <c r="AQ19" s="34">
        <v>0</v>
      </c>
      <c r="AR19" s="34">
        <v>284581.12</v>
      </c>
      <c r="AS19" s="34">
        <v>0</v>
      </c>
      <c r="AT19" s="34">
        <v>0</v>
      </c>
      <c r="AU19" s="34">
        <v>80635.5</v>
      </c>
      <c r="AV19" s="34">
        <v>0</v>
      </c>
      <c r="AW19" s="34">
        <v>0</v>
      </c>
      <c r="AX19" s="34">
        <v>0</v>
      </c>
      <c r="AY19" s="34">
        <v>0</v>
      </c>
      <c r="AZ19" s="34">
        <v>0</v>
      </c>
      <c r="BA19" s="34">
        <v>0</v>
      </c>
      <c r="BB19" s="34">
        <v>0</v>
      </c>
      <c r="BC19" s="34">
        <v>147201.28</v>
      </c>
      <c r="BD19" s="34">
        <v>2371.0500000000002</v>
      </c>
      <c r="BE19" s="34">
        <v>0</v>
      </c>
      <c r="BF19" s="34">
        <v>0</v>
      </c>
      <c r="BG19" s="34">
        <v>0</v>
      </c>
      <c r="BH19" s="34">
        <v>0</v>
      </c>
      <c r="BI19" s="34">
        <v>0</v>
      </c>
      <c r="BJ19" s="34">
        <v>0</v>
      </c>
      <c r="BK19" s="34">
        <v>0</v>
      </c>
      <c r="BL19" s="34">
        <v>0</v>
      </c>
      <c r="BM19" s="34">
        <v>0</v>
      </c>
      <c r="BN19" s="34">
        <v>0</v>
      </c>
      <c r="BO19" s="34">
        <v>0</v>
      </c>
      <c r="BP19" s="34">
        <v>0</v>
      </c>
      <c r="BQ19" s="34">
        <v>0</v>
      </c>
      <c r="BR19" s="34">
        <v>0</v>
      </c>
      <c r="BS19" s="34">
        <v>0</v>
      </c>
      <c r="BT19" s="34">
        <v>0</v>
      </c>
      <c r="BU19" s="34">
        <v>0</v>
      </c>
      <c r="BV19" s="34">
        <v>200000</v>
      </c>
      <c r="BW19" s="34">
        <v>55921</v>
      </c>
      <c r="BX19" s="34">
        <v>0</v>
      </c>
      <c r="BY19" s="34">
        <v>0</v>
      </c>
      <c r="BZ19" s="34">
        <v>0</v>
      </c>
      <c r="CA19" s="34">
        <v>480168.22</v>
      </c>
      <c r="CB19" s="34">
        <v>56624.04</v>
      </c>
      <c r="CC19" s="34">
        <v>0</v>
      </c>
      <c r="CD19" s="34">
        <v>0</v>
      </c>
      <c r="CE19" s="34">
        <v>0</v>
      </c>
      <c r="CF19" s="34">
        <v>0</v>
      </c>
      <c r="CJ19" s="28">
        <f t="shared" si="3"/>
        <v>6023760.0899999999</v>
      </c>
      <c r="CK19" s="28">
        <v>113832</v>
      </c>
      <c r="CL19" s="28">
        <f>E19/300*CL$123</f>
        <v>173887.46666666667</v>
      </c>
      <c r="CM19" s="34">
        <f t="shared" si="0"/>
        <v>92387</v>
      </c>
      <c r="CN19" s="34">
        <f t="shared" si="4"/>
        <v>0</v>
      </c>
      <c r="CU19" s="28">
        <f>VLOOKUP($A19,'Gen ed tchrs'!A15:R130,18,FALSE)*CU$123</f>
        <v>2048984.0999999999</v>
      </c>
      <c r="CV19" s="28">
        <f>'Gen ed tchrs'!Z15*CV$123/2</f>
        <v>123935.07993750001</v>
      </c>
      <c r="DB19" s="28">
        <f t="shared" si="5"/>
        <v>2553025.6466041664</v>
      </c>
      <c r="DC19" s="28">
        <f t="shared" si="6"/>
        <v>2165117</v>
      </c>
      <c r="DD19" s="28">
        <f t="shared" si="1"/>
        <v>0</v>
      </c>
      <c r="DE19" s="28">
        <f t="shared" si="7"/>
        <v>2165117</v>
      </c>
      <c r="DF19" s="6">
        <f t="shared" si="8"/>
        <v>-387908.64660416637</v>
      </c>
      <c r="DM19" s="34"/>
      <c r="DN19" s="34"/>
    </row>
    <row r="20" spans="1:118" x14ac:dyDescent="0.2">
      <c r="A20">
        <v>404</v>
      </c>
      <c r="B20" t="s">
        <v>110</v>
      </c>
      <c r="C20" t="s">
        <v>4</v>
      </c>
      <c r="D20">
        <v>5</v>
      </c>
      <c r="E20">
        <v>413</v>
      </c>
      <c r="F20">
        <v>348</v>
      </c>
      <c r="G20">
        <v>369</v>
      </c>
      <c r="H20" s="50">
        <f t="shared" si="2"/>
        <v>-21</v>
      </c>
      <c r="I20" s="4">
        <v>0.65133171912832932</v>
      </c>
      <c r="J20">
        <v>269</v>
      </c>
      <c r="K20" s="34">
        <v>198942.26</v>
      </c>
      <c r="L20" s="34">
        <v>56916.22</v>
      </c>
      <c r="M20" s="34">
        <v>0</v>
      </c>
      <c r="N20" s="34">
        <v>71961.03</v>
      </c>
      <c r="O20" s="34">
        <v>13760.4</v>
      </c>
      <c r="P20" s="34">
        <v>79024.509999999995</v>
      </c>
      <c r="Q20" s="34">
        <v>60058.83</v>
      </c>
      <c r="R20" s="34">
        <v>255936.32</v>
      </c>
      <c r="S20" s="34">
        <v>113832.45</v>
      </c>
      <c r="T20" s="34">
        <v>0</v>
      </c>
      <c r="U20" s="34">
        <v>227664.89</v>
      </c>
      <c r="V20" s="34">
        <v>227664.89</v>
      </c>
      <c r="W20" s="34">
        <v>156665.71</v>
      </c>
      <c r="X20" s="34">
        <v>116473.5</v>
      </c>
      <c r="Y20" s="34">
        <v>0</v>
      </c>
      <c r="Z20" s="34">
        <v>0</v>
      </c>
      <c r="AA20" s="34">
        <v>519651</v>
      </c>
      <c r="AB20" s="34">
        <v>0</v>
      </c>
      <c r="AC20" s="34">
        <v>0</v>
      </c>
      <c r="AD20" s="34">
        <v>0</v>
      </c>
      <c r="AE20" s="34">
        <v>0</v>
      </c>
      <c r="AF20" s="34">
        <v>2078604</v>
      </c>
      <c r="AG20" s="34">
        <v>136290</v>
      </c>
      <c r="AH20" s="34">
        <v>113832.45</v>
      </c>
      <c r="AI20" s="34">
        <v>227664.89</v>
      </c>
      <c r="AJ20" s="34">
        <v>682994.68</v>
      </c>
      <c r="AK20" s="34">
        <v>341497.34</v>
      </c>
      <c r="AL20" s="34">
        <v>234998.56</v>
      </c>
      <c r="AM20" s="34">
        <v>0</v>
      </c>
      <c r="AN20" s="34">
        <v>0</v>
      </c>
      <c r="AO20" s="34">
        <v>0</v>
      </c>
      <c r="AP20" s="34">
        <v>134392.5</v>
      </c>
      <c r="AQ20" s="34">
        <v>0</v>
      </c>
      <c r="AR20" s="34">
        <v>569162.23</v>
      </c>
      <c r="AS20" s="34">
        <v>0</v>
      </c>
      <c r="AT20" s="34">
        <v>0</v>
      </c>
      <c r="AU20" s="34">
        <v>179190</v>
      </c>
      <c r="AV20" s="34">
        <v>13600</v>
      </c>
      <c r="AW20" s="34">
        <v>13600</v>
      </c>
      <c r="AX20" s="34">
        <v>10200</v>
      </c>
      <c r="AY20" s="34">
        <v>0</v>
      </c>
      <c r="AZ20" s="34">
        <v>13600</v>
      </c>
      <c r="BA20" s="34">
        <v>0</v>
      </c>
      <c r="BB20" s="34">
        <v>13600</v>
      </c>
      <c r="BC20" s="34">
        <v>223507.83</v>
      </c>
      <c r="BD20" s="34">
        <v>3600.16</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15325</v>
      </c>
      <c r="BV20" s="34">
        <v>0</v>
      </c>
      <c r="BW20" s="34">
        <v>0</v>
      </c>
      <c r="BX20" s="34">
        <v>0</v>
      </c>
      <c r="BY20" s="34">
        <v>0</v>
      </c>
      <c r="BZ20" s="34">
        <v>0</v>
      </c>
      <c r="CA20" s="34">
        <v>721593.58</v>
      </c>
      <c r="CB20" s="34">
        <v>123999.48</v>
      </c>
      <c r="CC20" s="34">
        <v>0</v>
      </c>
      <c r="CD20" s="34">
        <v>42721.51</v>
      </c>
      <c r="CE20" s="34">
        <v>0</v>
      </c>
      <c r="CF20" s="34">
        <v>0</v>
      </c>
      <c r="CJ20" s="28">
        <f t="shared" si="3"/>
        <v>7992526.2199999988</v>
      </c>
      <c r="CK20" s="28">
        <v>113832</v>
      </c>
      <c r="CL20" s="28">
        <f t="shared" ref="CL20:CL21" si="14">E20/400*CL$123</f>
        <v>163713.19999999998</v>
      </c>
      <c r="CM20" s="34">
        <f t="shared" si="0"/>
        <v>92387</v>
      </c>
      <c r="CN20" s="34">
        <f t="shared" si="4"/>
        <v>51939.951573849881</v>
      </c>
      <c r="CQ20" s="28">
        <v>113832</v>
      </c>
      <c r="CR20" s="28">
        <v>113832</v>
      </c>
      <c r="CS20" s="28">
        <v>113832.45</v>
      </c>
      <c r="CT20" s="34">
        <f>VLOOKUP($A20,'PosxSchpostCouncil 22'!$A$6:$DP$121,94,FALSE)*CT$123</f>
        <v>78332.86</v>
      </c>
      <c r="CU20" s="28">
        <f>VLOOKUP($A20,'Gen ed tchrs'!A16:R131,18,FALSE)*CU$123</f>
        <v>2276649</v>
      </c>
      <c r="CV20" s="28">
        <f>'Gen ed tchrs'!Z16*CV$123/2</f>
        <v>69757.948265624989</v>
      </c>
      <c r="DB20" s="28">
        <f t="shared" si="5"/>
        <v>3188108.4098394751</v>
      </c>
      <c r="DC20" s="28">
        <f t="shared" si="6"/>
        <v>2598255</v>
      </c>
      <c r="DD20" s="28">
        <f t="shared" si="1"/>
        <v>42721.51</v>
      </c>
      <c r="DE20" s="28">
        <f t="shared" si="7"/>
        <v>2640976.5099999998</v>
      </c>
      <c r="DF20" s="6">
        <f t="shared" si="8"/>
        <v>-547131.89983947529</v>
      </c>
      <c r="DM20" s="34"/>
      <c r="DN20" s="34"/>
    </row>
    <row r="21" spans="1:118" x14ac:dyDescent="0.2">
      <c r="A21">
        <v>296</v>
      </c>
      <c r="B21" t="s">
        <v>109</v>
      </c>
      <c r="C21" t="s">
        <v>7</v>
      </c>
      <c r="D21">
        <v>1</v>
      </c>
      <c r="E21">
        <v>421</v>
      </c>
      <c r="F21">
        <v>328</v>
      </c>
      <c r="G21">
        <v>387</v>
      </c>
      <c r="H21" s="50">
        <f t="shared" si="2"/>
        <v>-59</v>
      </c>
      <c r="I21" s="4">
        <v>0.33254156769596199</v>
      </c>
      <c r="J21">
        <v>140</v>
      </c>
      <c r="K21" s="34">
        <v>198942.26</v>
      </c>
      <c r="L21" s="34">
        <v>0</v>
      </c>
      <c r="M21" s="34">
        <v>0</v>
      </c>
      <c r="N21" s="34">
        <v>71961.03</v>
      </c>
      <c r="O21" s="34">
        <v>7194.25</v>
      </c>
      <c r="P21" s="34">
        <v>79024.509999999995</v>
      </c>
      <c r="Q21" s="34">
        <v>60058.83</v>
      </c>
      <c r="R21" s="34">
        <v>102374.53</v>
      </c>
      <c r="S21" s="34">
        <v>113832.45</v>
      </c>
      <c r="T21" s="34">
        <v>0</v>
      </c>
      <c r="U21" s="34">
        <v>682994.68</v>
      </c>
      <c r="V21" s="34">
        <v>0</v>
      </c>
      <c r="W21" s="34">
        <v>234998.56</v>
      </c>
      <c r="X21" s="34">
        <v>166646.70000000001</v>
      </c>
      <c r="Y21" s="34">
        <v>0</v>
      </c>
      <c r="Z21" s="34">
        <v>0</v>
      </c>
      <c r="AA21" s="34">
        <v>0</v>
      </c>
      <c r="AB21" s="34">
        <v>0</v>
      </c>
      <c r="AC21" s="34">
        <v>0</v>
      </c>
      <c r="AD21" s="34">
        <v>0</v>
      </c>
      <c r="AE21" s="34">
        <v>0</v>
      </c>
      <c r="AF21" s="34">
        <v>1959144</v>
      </c>
      <c r="AG21" s="34">
        <v>136825</v>
      </c>
      <c r="AH21" s="34">
        <v>113832.45</v>
      </c>
      <c r="AI21" s="34">
        <v>227664.89</v>
      </c>
      <c r="AJ21" s="34">
        <v>341497.34</v>
      </c>
      <c r="AK21" s="34">
        <v>0</v>
      </c>
      <c r="AL21" s="34">
        <v>0</v>
      </c>
      <c r="AM21" s="34">
        <v>0</v>
      </c>
      <c r="AN21" s="34">
        <v>0</v>
      </c>
      <c r="AO21" s="34">
        <v>0</v>
      </c>
      <c r="AP21" s="34">
        <v>80635.5</v>
      </c>
      <c r="AQ21" s="34">
        <v>0</v>
      </c>
      <c r="AR21" s="34">
        <v>1536738.02</v>
      </c>
      <c r="AS21" s="34">
        <v>0</v>
      </c>
      <c r="AT21" s="34">
        <v>0</v>
      </c>
      <c r="AU21" s="34">
        <v>519651</v>
      </c>
      <c r="AV21" s="34">
        <v>0</v>
      </c>
      <c r="AW21" s="34">
        <v>0</v>
      </c>
      <c r="AX21" s="34">
        <v>0</v>
      </c>
      <c r="AY21" s="34">
        <v>0</v>
      </c>
      <c r="AZ21" s="34">
        <v>0</v>
      </c>
      <c r="BA21" s="34">
        <v>0</v>
      </c>
      <c r="BB21" s="34">
        <v>0</v>
      </c>
      <c r="BC21" s="34">
        <v>91784.33</v>
      </c>
      <c r="BD21" s="34">
        <v>1478.42</v>
      </c>
      <c r="BE21" s="34">
        <v>0</v>
      </c>
      <c r="BF21" s="34">
        <v>0</v>
      </c>
      <c r="BG21" s="34">
        <v>0</v>
      </c>
      <c r="BH21" s="34">
        <v>0</v>
      </c>
      <c r="BI21" s="34">
        <v>0</v>
      </c>
      <c r="BJ21" s="34">
        <v>0</v>
      </c>
      <c r="BK21" s="34">
        <v>0</v>
      </c>
      <c r="BL21" s="34">
        <v>0</v>
      </c>
      <c r="BM21" s="34">
        <v>0</v>
      </c>
      <c r="BN21" s="34">
        <v>0</v>
      </c>
      <c r="BO21" s="34">
        <v>0</v>
      </c>
      <c r="BP21" s="34">
        <v>70200</v>
      </c>
      <c r="BQ21" s="34">
        <v>0</v>
      </c>
      <c r="BR21" s="34">
        <v>0</v>
      </c>
      <c r="BS21" s="34">
        <v>0</v>
      </c>
      <c r="BT21" s="34">
        <v>0</v>
      </c>
      <c r="BU21" s="34">
        <v>0</v>
      </c>
      <c r="BV21" s="34">
        <v>0</v>
      </c>
      <c r="BW21" s="34">
        <v>0</v>
      </c>
      <c r="BX21" s="34">
        <v>0</v>
      </c>
      <c r="BY21" s="34">
        <v>0</v>
      </c>
      <c r="BZ21" s="34">
        <v>0</v>
      </c>
      <c r="CA21" s="34">
        <v>375550.56</v>
      </c>
      <c r="CB21" s="34">
        <v>0</v>
      </c>
      <c r="CC21" s="34">
        <v>395435.26</v>
      </c>
      <c r="CD21" s="34">
        <v>0</v>
      </c>
      <c r="CE21" s="34">
        <v>0</v>
      </c>
      <c r="CF21" s="34">
        <v>340240.68</v>
      </c>
      <c r="CJ21" s="28">
        <f t="shared" si="3"/>
        <v>7908705.2499999991</v>
      </c>
      <c r="CK21" s="28">
        <v>113832</v>
      </c>
      <c r="CL21" s="28">
        <f t="shared" si="14"/>
        <v>166884.4</v>
      </c>
      <c r="CM21" s="34">
        <f t="shared" si="0"/>
        <v>92387</v>
      </c>
      <c r="CN21" s="34">
        <f t="shared" si="4"/>
        <v>50952.969121140137</v>
      </c>
      <c r="CQ21" s="28">
        <f>IF('Gen ed tchrs'!$V17&gt;37,2*113832,IF('Gen ed tchrs'!$V17&gt;25,1.5*113832,113832))</f>
        <v>113832</v>
      </c>
      <c r="CR21" s="28">
        <f>IF('Gen ed tchrs'!$V17&gt;37,2*113832,IF('Gen ed tchrs'!$V17&gt;25,1.5*113832,113832))</f>
        <v>113832</v>
      </c>
      <c r="CS21" s="28">
        <f>IF('Gen ed tchrs'!$V17&gt;39.1,3.5*113832,IF('Gen ed tchrs'!$V17&gt;33.1,3*113832,IF('Gen ed tchrs'!$V17&gt;26.1,2.5*113832,IF('Gen ed tchrs'!$V17&gt;20.1,2*113832,IF('Gen ed tchrs'!$V17&gt;13.1,1.5*113832,113832)))))</f>
        <v>227664</v>
      </c>
      <c r="CT21" s="34">
        <f>VLOOKUP($A21,'PosxSchpostCouncil 22'!$A$6:$DP$121,94,FALSE)*CT$123</f>
        <v>117499.29000000001</v>
      </c>
      <c r="CU21" s="28">
        <f>VLOOKUP($A21,'Gen ed tchrs'!A17:R132,18,FALSE)*CU$123</f>
        <v>2048984.0999999999</v>
      </c>
      <c r="CV21" s="28">
        <f>'Gen ed tchrs'!Z17*CV$123/2</f>
        <v>68904.204890624998</v>
      </c>
      <c r="DB21" s="28">
        <f t="shared" si="5"/>
        <v>3114771.9640117651</v>
      </c>
      <c r="DC21" s="28">
        <f t="shared" si="6"/>
        <v>1959144</v>
      </c>
      <c r="DD21" s="28">
        <f t="shared" si="1"/>
        <v>735675.94</v>
      </c>
      <c r="DE21" s="28">
        <f t="shared" si="7"/>
        <v>2694819.94</v>
      </c>
      <c r="DF21" s="6">
        <f t="shared" si="8"/>
        <v>-419952.02401176514</v>
      </c>
      <c r="DM21" s="34"/>
      <c r="DN21" s="34"/>
    </row>
    <row r="22" spans="1:118" x14ac:dyDescent="0.2">
      <c r="A22">
        <v>219</v>
      </c>
      <c r="B22" t="s">
        <v>108</v>
      </c>
      <c r="C22" t="s">
        <v>7</v>
      </c>
      <c r="D22">
        <v>5</v>
      </c>
      <c r="E22">
        <v>210</v>
      </c>
      <c r="F22">
        <v>154</v>
      </c>
      <c r="G22">
        <v>158</v>
      </c>
      <c r="H22" s="50">
        <f t="shared" si="2"/>
        <v>-4</v>
      </c>
      <c r="I22" s="4">
        <v>0.45714285714285713</v>
      </c>
      <c r="J22">
        <v>96</v>
      </c>
      <c r="K22" s="34">
        <v>198942.26</v>
      </c>
      <c r="L22" s="34">
        <v>0</v>
      </c>
      <c r="M22" s="34">
        <v>0</v>
      </c>
      <c r="N22" s="34">
        <v>71961.03</v>
      </c>
      <c r="O22" s="34">
        <v>7255</v>
      </c>
      <c r="P22" s="34">
        <v>79024.509999999995</v>
      </c>
      <c r="Q22" s="34">
        <v>60058.83</v>
      </c>
      <c r="R22" s="34">
        <v>51187.26</v>
      </c>
      <c r="S22" s="34">
        <v>113832.45</v>
      </c>
      <c r="T22" s="34">
        <v>227664.89</v>
      </c>
      <c r="U22" s="34">
        <v>0</v>
      </c>
      <c r="V22" s="34">
        <v>341497.34</v>
      </c>
      <c r="W22" s="34">
        <v>195832.13</v>
      </c>
      <c r="X22" s="34">
        <v>100346.4</v>
      </c>
      <c r="Y22" s="34">
        <v>0</v>
      </c>
      <c r="Z22" s="34">
        <v>0</v>
      </c>
      <c r="AA22" s="34">
        <v>0</v>
      </c>
      <c r="AB22" s="34">
        <v>0</v>
      </c>
      <c r="AC22" s="34">
        <v>0</v>
      </c>
      <c r="AD22" s="34">
        <v>0</v>
      </c>
      <c r="AE22" s="34">
        <v>0</v>
      </c>
      <c r="AF22" s="34">
        <v>919842</v>
      </c>
      <c r="AG22" s="34">
        <v>68250</v>
      </c>
      <c r="AH22" s="34">
        <v>113832.45</v>
      </c>
      <c r="AI22" s="34">
        <v>113832.45</v>
      </c>
      <c r="AJ22" s="34">
        <v>341497.34</v>
      </c>
      <c r="AK22" s="34">
        <v>341497.34</v>
      </c>
      <c r="AL22" s="34">
        <v>234998.56</v>
      </c>
      <c r="AM22" s="34">
        <v>0</v>
      </c>
      <c r="AN22" s="34">
        <v>0</v>
      </c>
      <c r="AO22" s="34">
        <v>0</v>
      </c>
      <c r="AP22" s="34">
        <v>75259.8</v>
      </c>
      <c r="AQ22" s="34">
        <v>0</v>
      </c>
      <c r="AR22" s="34">
        <v>170748.67</v>
      </c>
      <c r="AS22" s="34">
        <v>0</v>
      </c>
      <c r="AT22" s="34">
        <v>0</v>
      </c>
      <c r="AU22" s="34">
        <v>46589.4</v>
      </c>
      <c r="AV22" s="34">
        <v>13600</v>
      </c>
      <c r="AW22" s="34">
        <v>13600</v>
      </c>
      <c r="AX22" s="34">
        <v>10200</v>
      </c>
      <c r="AY22" s="34">
        <v>0</v>
      </c>
      <c r="AZ22" s="34">
        <v>13600</v>
      </c>
      <c r="BA22" s="34">
        <v>0</v>
      </c>
      <c r="BB22" s="34">
        <v>13600</v>
      </c>
      <c r="BC22" s="34">
        <v>71868.86</v>
      </c>
      <c r="BD22" s="34">
        <v>1157.6300000000001</v>
      </c>
      <c r="BE22" s="34">
        <v>0</v>
      </c>
      <c r="BF22" s="34">
        <v>0</v>
      </c>
      <c r="BG22" s="34">
        <v>0</v>
      </c>
      <c r="BH22" s="34">
        <v>0</v>
      </c>
      <c r="BI22" s="34">
        <v>0</v>
      </c>
      <c r="BJ22" s="34">
        <v>0</v>
      </c>
      <c r="BK22" s="34">
        <v>0</v>
      </c>
      <c r="BL22" s="34">
        <v>0</v>
      </c>
      <c r="BM22" s="34">
        <v>0</v>
      </c>
      <c r="BN22" s="34">
        <v>0</v>
      </c>
      <c r="BO22" s="34">
        <v>0</v>
      </c>
      <c r="BP22" s="34">
        <v>0</v>
      </c>
      <c r="BQ22" s="34">
        <v>0</v>
      </c>
      <c r="BR22" s="34">
        <v>0</v>
      </c>
      <c r="BS22" s="34">
        <v>0</v>
      </c>
      <c r="BT22" s="34">
        <v>0</v>
      </c>
      <c r="BU22" s="34">
        <v>0</v>
      </c>
      <c r="BV22" s="34">
        <v>0</v>
      </c>
      <c r="BW22" s="34">
        <v>0</v>
      </c>
      <c r="BX22" s="34">
        <v>0</v>
      </c>
      <c r="BY22" s="34">
        <v>0</v>
      </c>
      <c r="BZ22" s="34">
        <v>0</v>
      </c>
      <c r="CA22" s="34">
        <v>257520.38</v>
      </c>
      <c r="CB22" s="34">
        <v>14335.2</v>
      </c>
      <c r="CC22" s="34">
        <v>0</v>
      </c>
      <c r="CD22" s="34">
        <v>0</v>
      </c>
      <c r="CE22" s="34">
        <v>263245.48</v>
      </c>
      <c r="CF22" s="34">
        <v>0</v>
      </c>
      <c r="CJ22" s="28">
        <f t="shared" si="3"/>
        <v>4546677.66</v>
      </c>
      <c r="CK22" s="28">
        <v>113832</v>
      </c>
      <c r="CM22" s="34">
        <f t="shared" si="0"/>
        <v>46193.5</v>
      </c>
      <c r="CN22" s="34">
        <f t="shared" si="4"/>
        <v>0</v>
      </c>
      <c r="CQ22" s="28">
        <f>IF('Gen ed tchrs'!$V18&gt;37,2*113832,IF('Gen ed tchrs'!$V18&gt;25,1.5*113832,113832))</f>
        <v>113832</v>
      </c>
      <c r="CR22" s="28">
        <f>IF('Gen ed tchrs'!$V18&gt;37,2*113832,IF('Gen ed tchrs'!$V18&gt;25,1.5*113832,113832))</f>
        <v>113832</v>
      </c>
      <c r="CS22" s="28">
        <f>IF('Gen ed tchrs'!$V18&gt;39.1,3.5*113832,IF('Gen ed tchrs'!$V18&gt;33.1,3*113832,IF('Gen ed tchrs'!$V18&gt;26.1,2.5*113832,IF('Gen ed tchrs'!$V18&gt;20.1,2*113832,IF('Gen ed tchrs'!$V18&gt;13.1,1.5*113832,113832)))))</f>
        <v>170748</v>
      </c>
      <c r="CT22" s="34">
        <f>VLOOKUP($A22,'PosxSchpostCouncil 22'!$A$6:$DP$121,94,FALSE)*CT$123</f>
        <v>78332.86</v>
      </c>
      <c r="CU22" s="28">
        <f>VLOOKUP($A22,'Gen ed tchrs'!A18:R133,18,FALSE)*CU$123</f>
        <v>1138324.5</v>
      </c>
      <c r="CV22" s="28">
        <f>'Gen ed tchrs'!Z18*CV$123/2</f>
        <v>56916.224999999999</v>
      </c>
      <c r="DB22" s="28">
        <f t="shared" si="5"/>
        <v>1832011.085</v>
      </c>
      <c r="DC22" s="28">
        <f t="shared" si="6"/>
        <v>919842</v>
      </c>
      <c r="DD22" s="28">
        <f t="shared" si="1"/>
        <v>263245.48</v>
      </c>
      <c r="DE22" s="28">
        <f t="shared" si="7"/>
        <v>1183087.48</v>
      </c>
      <c r="DF22" s="6">
        <f t="shared" si="8"/>
        <v>-648923.60499999998</v>
      </c>
      <c r="DM22" s="34"/>
      <c r="DN22" s="34"/>
    </row>
    <row r="23" spans="1:118" x14ac:dyDescent="0.2">
      <c r="A23">
        <v>220</v>
      </c>
      <c r="B23" t="s">
        <v>107</v>
      </c>
      <c r="C23" t="s">
        <v>7</v>
      </c>
      <c r="D23">
        <v>5</v>
      </c>
      <c r="E23">
        <v>233</v>
      </c>
      <c r="F23">
        <v>166</v>
      </c>
      <c r="G23">
        <v>198</v>
      </c>
      <c r="H23" s="50">
        <f t="shared" si="2"/>
        <v>-32</v>
      </c>
      <c r="I23" s="4">
        <v>0.42489270386266093</v>
      </c>
      <c r="J23">
        <v>99</v>
      </c>
      <c r="K23" s="34">
        <v>198942.26</v>
      </c>
      <c r="L23" s="34">
        <v>0</v>
      </c>
      <c r="M23" s="34">
        <v>0</v>
      </c>
      <c r="N23" s="34">
        <v>71961.03</v>
      </c>
      <c r="O23" s="34">
        <v>5974.95</v>
      </c>
      <c r="P23" s="34">
        <v>79024.509999999995</v>
      </c>
      <c r="Q23" s="34">
        <v>60058.83</v>
      </c>
      <c r="R23" s="34">
        <v>51187.26</v>
      </c>
      <c r="S23" s="34">
        <v>113832.45</v>
      </c>
      <c r="T23" s="34">
        <v>227664.89</v>
      </c>
      <c r="U23" s="34">
        <v>113832.45</v>
      </c>
      <c r="V23" s="34">
        <v>227664.89</v>
      </c>
      <c r="W23" s="34">
        <v>195832.13</v>
      </c>
      <c r="X23" s="34">
        <v>120057.3</v>
      </c>
      <c r="Y23" s="34">
        <v>0</v>
      </c>
      <c r="Z23" s="34">
        <v>0</v>
      </c>
      <c r="AA23" s="34">
        <v>0</v>
      </c>
      <c r="AB23" s="34">
        <v>0</v>
      </c>
      <c r="AC23" s="34">
        <v>0</v>
      </c>
      <c r="AD23" s="34">
        <v>0</v>
      </c>
      <c r="AE23" s="34">
        <v>0</v>
      </c>
      <c r="AF23" s="34">
        <v>991518</v>
      </c>
      <c r="AG23" s="34">
        <v>75725</v>
      </c>
      <c r="AH23" s="34">
        <v>113832.45</v>
      </c>
      <c r="AI23" s="34">
        <v>113832.45</v>
      </c>
      <c r="AJ23" s="34">
        <v>341497.34</v>
      </c>
      <c r="AK23" s="34">
        <v>455329.78</v>
      </c>
      <c r="AL23" s="34">
        <v>234998.56</v>
      </c>
      <c r="AM23" s="34">
        <v>0</v>
      </c>
      <c r="AN23" s="34">
        <v>0</v>
      </c>
      <c r="AO23" s="34">
        <v>0</v>
      </c>
      <c r="AP23" s="34">
        <v>78843.600000000006</v>
      </c>
      <c r="AQ23" s="34">
        <v>0</v>
      </c>
      <c r="AR23" s="34">
        <v>170748.67</v>
      </c>
      <c r="AS23" s="34">
        <v>0</v>
      </c>
      <c r="AT23" s="34">
        <v>0</v>
      </c>
      <c r="AU23" s="34">
        <v>46589.4</v>
      </c>
      <c r="AV23" s="34">
        <v>20400</v>
      </c>
      <c r="AW23" s="34">
        <v>20400</v>
      </c>
      <c r="AX23" s="34">
        <v>10200</v>
      </c>
      <c r="AY23" s="34">
        <v>0</v>
      </c>
      <c r="AZ23" s="34">
        <v>20400</v>
      </c>
      <c r="BA23" s="34">
        <v>0</v>
      </c>
      <c r="BB23" s="34">
        <v>20400</v>
      </c>
      <c r="BC23" s="34">
        <v>90052.55</v>
      </c>
      <c r="BD23" s="34">
        <v>1450.52</v>
      </c>
      <c r="BE23" s="34">
        <v>0</v>
      </c>
      <c r="BF23" s="34">
        <v>0</v>
      </c>
      <c r="BG23" s="34">
        <v>0</v>
      </c>
      <c r="BH23" s="34">
        <v>0</v>
      </c>
      <c r="BI23" s="34">
        <v>0</v>
      </c>
      <c r="BJ23" s="34">
        <v>0</v>
      </c>
      <c r="BK23" s="34">
        <v>0</v>
      </c>
      <c r="BL23" s="34">
        <v>0</v>
      </c>
      <c r="BM23" s="34">
        <v>0</v>
      </c>
      <c r="BN23" s="34">
        <v>0</v>
      </c>
      <c r="BO23" s="34">
        <v>0</v>
      </c>
      <c r="BP23" s="34">
        <v>0</v>
      </c>
      <c r="BQ23" s="34">
        <v>0</v>
      </c>
      <c r="BR23" s="34">
        <v>0</v>
      </c>
      <c r="BS23" s="34">
        <v>0</v>
      </c>
      <c r="BT23" s="34">
        <v>0</v>
      </c>
      <c r="BU23" s="34">
        <v>15325</v>
      </c>
      <c r="BV23" s="34">
        <v>0</v>
      </c>
      <c r="BW23" s="34">
        <v>0</v>
      </c>
      <c r="BX23" s="34">
        <v>0</v>
      </c>
      <c r="BY23" s="34">
        <v>0</v>
      </c>
      <c r="BZ23" s="34">
        <v>0</v>
      </c>
      <c r="CA23" s="34">
        <v>265567.90000000002</v>
      </c>
      <c r="CB23" s="34">
        <v>6928.68</v>
      </c>
      <c r="CC23" s="34">
        <v>93694.21</v>
      </c>
      <c r="CD23" s="34">
        <v>0</v>
      </c>
      <c r="CE23" s="34">
        <v>403346.19</v>
      </c>
      <c r="CF23" s="34">
        <v>0</v>
      </c>
      <c r="CJ23" s="28">
        <f t="shared" si="3"/>
        <v>5057113.2500000009</v>
      </c>
      <c r="CK23" s="28">
        <v>113832</v>
      </c>
      <c r="CM23" s="34">
        <f t="shared" si="0"/>
        <v>46193.5</v>
      </c>
      <c r="CN23" s="34">
        <f t="shared" si="4"/>
        <v>0</v>
      </c>
      <c r="CQ23" s="28">
        <f>IF('Gen ed tchrs'!$V19&gt;37,2*113832,IF('Gen ed tchrs'!$V19&gt;25,1.5*113832,113832))</f>
        <v>113832</v>
      </c>
      <c r="CR23" s="28">
        <f>IF('Gen ed tchrs'!$V19&gt;37,2*113832,IF('Gen ed tchrs'!$V19&gt;25,1.5*113832,113832))</f>
        <v>113832</v>
      </c>
      <c r="CS23" s="28">
        <f>IF('Gen ed tchrs'!$V19&gt;39.1,3.5*113832,IF('Gen ed tchrs'!$V19&gt;33.1,3*113832,IF('Gen ed tchrs'!$V19&gt;26.1,2.5*113832,IF('Gen ed tchrs'!$V19&gt;20.1,2*113832,IF('Gen ed tchrs'!$V19&gt;13.1,1.5*113832,113832)))))</f>
        <v>170748</v>
      </c>
      <c r="CT23" s="34">
        <f>VLOOKUP($A23,'PosxSchpostCouncil 22'!$A$6:$DP$121,94,FALSE)*CT$123</f>
        <v>78332.86</v>
      </c>
      <c r="CU23" s="28">
        <f>VLOOKUP($A23,'Gen ed tchrs'!A19:R134,18,FALSE)*CU$123</f>
        <v>1138324.5</v>
      </c>
      <c r="CV23" s="28">
        <f>'Gen ed tchrs'!Z19*CV$123/2</f>
        <v>56916.224999999999</v>
      </c>
      <c r="DB23" s="28">
        <f t="shared" si="5"/>
        <v>1832011.085</v>
      </c>
      <c r="DC23" s="28">
        <f t="shared" si="6"/>
        <v>991518</v>
      </c>
      <c r="DD23" s="28">
        <f t="shared" si="1"/>
        <v>497040.4</v>
      </c>
      <c r="DE23" s="28">
        <f t="shared" si="7"/>
        <v>1488558.4</v>
      </c>
      <c r="DF23" s="6">
        <f t="shared" si="8"/>
        <v>-343452.68500000006</v>
      </c>
      <c r="DM23" s="34"/>
      <c r="DN23" s="34"/>
    </row>
    <row r="24" spans="1:118" x14ac:dyDescent="0.2">
      <c r="A24">
        <v>221</v>
      </c>
      <c r="B24" t="s">
        <v>106</v>
      </c>
      <c r="C24" t="s">
        <v>7</v>
      </c>
      <c r="D24">
        <v>7</v>
      </c>
      <c r="E24">
        <v>257</v>
      </c>
      <c r="F24">
        <v>185</v>
      </c>
      <c r="G24">
        <v>220</v>
      </c>
      <c r="H24" s="50">
        <f t="shared" si="2"/>
        <v>-35</v>
      </c>
      <c r="I24" s="4">
        <v>0.70817120622568097</v>
      </c>
      <c r="J24">
        <v>182</v>
      </c>
      <c r="K24" s="34">
        <v>198942.26</v>
      </c>
      <c r="L24" s="34">
        <v>0</v>
      </c>
      <c r="M24" s="34">
        <v>0</v>
      </c>
      <c r="N24" s="34">
        <v>71961.03</v>
      </c>
      <c r="O24" s="34">
        <v>7117.95</v>
      </c>
      <c r="P24" s="34">
        <v>79024.509999999995</v>
      </c>
      <c r="Q24" s="34">
        <v>60058.83</v>
      </c>
      <c r="R24" s="34">
        <v>51187.26</v>
      </c>
      <c r="S24" s="34">
        <v>113832.45</v>
      </c>
      <c r="T24" s="34">
        <v>227664.89</v>
      </c>
      <c r="U24" s="34">
        <v>113832.45</v>
      </c>
      <c r="V24" s="34">
        <v>341497.34</v>
      </c>
      <c r="W24" s="34">
        <v>234998.56</v>
      </c>
      <c r="X24" s="34">
        <v>129016.8</v>
      </c>
      <c r="Y24" s="34">
        <v>0</v>
      </c>
      <c r="Z24" s="34">
        <v>0</v>
      </c>
      <c r="AA24" s="34">
        <v>0</v>
      </c>
      <c r="AB24" s="34">
        <v>0</v>
      </c>
      <c r="AC24" s="34">
        <v>0</v>
      </c>
      <c r="AD24" s="34">
        <v>0</v>
      </c>
      <c r="AE24" s="34">
        <v>0</v>
      </c>
      <c r="AF24" s="34">
        <v>1105005</v>
      </c>
      <c r="AG24" s="34">
        <v>83525</v>
      </c>
      <c r="AH24" s="34">
        <v>113832.45</v>
      </c>
      <c r="AI24" s="34">
        <v>113832.45</v>
      </c>
      <c r="AJ24" s="34">
        <v>341497.34</v>
      </c>
      <c r="AK24" s="34">
        <v>0</v>
      </c>
      <c r="AL24" s="34">
        <v>0</v>
      </c>
      <c r="AM24" s="34">
        <v>0</v>
      </c>
      <c r="AN24" s="34">
        <v>0</v>
      </c>
      <c r="AO24" s="34">
        <v>0</v>
      </c>
      <c r="AP24" s="34">
        <v>44797.5</v>
      </c>
      <c r="AQ24" s="34">
        <v>0</v>
      </c>
      <c r="AR24" s="34">
        <v>0</v>
      </c>
      <c r="AS24" s="34">
        <v>20489.84</v>
      </c>
      <c r="AT24" s="34">
        <v>0</v>
      </c>
      <c r="AU24" s="34">
        <v>7167.6</v>
      </c>
      <c r="AV24" s="34">
        <v>13600</v>
      </c>
      <c r="AW24" s="34">
        <v>13600</v>
      </c>
      <c r="AX24" s="34">
        <v>10200</v>
      </c>
      <c r="AY24" s="34">
        <v>0</v>
      </c>
      <c r="AZ24" s="34">
        <v>13600</v>
      </c>
      <c r="BA24" s="34">
        <v>0</v>
      </c>
      <c r="BB24" s="34">
        <v>13600</v>
      </c>
      <c r="BC24" s="34">
        <v>139083.56</v>
      </c>
      <c r="BD24" s="34">
        <v>2240.29</v>
      </c>
      <c r="BE24" s="34">
        <v>0</v>
      </c>
      <c r="BF24" s="34">
        <v>0</v>
      </c>
      <c r="BG24" s="34">
        <v>0</v>
      </c>
      <c r="BH24" s="34">
        <v>0</v>
      </c>
      <c r="BI24" s="34">
        <v>0</v>
      </c>
      <c r="BJ24" s="34">
        <v>0</v>
      </c>
      <c r="BK24" s="34">
        <v>0</v>
      </c>
      <c r="BL24" s="34">
        <v>0</v>
      </c>
      <c r="BM24" s="34">
        <v>0</v>
      </c>
      <c r="BN24" s="34">
        <v>0</v>
      </c>
      <c r="BO24" s="34">
        <v>0</v>
      </c>
      <c r="BP24" s="34">
        <v>0</v>
      </c>
      <c r="BQ24" s="34">
        <v>0</v>
      </c>
      <c r="BR24" s="34">
        <v>0</v>
      </c>
      <c r="BS24" s="34">
        <v>0</v>
      </c>
      <c r="BT24" s="34">
        <v>0</v>
      </c>
      <c r="BU24" s="34">
        <v>15325</v>
      </c>
      <c r="BV24" s="34">
        <v>0</v>
      </c>
      <c r="BW24" s="34">
        <v>0</v>
      </c>
      <c r="BX24" s="34">
        <v>0</v>
      </c>
      <c r="BY24" s="34">
        <v>0</v>
      </c>
      <c r="BZ24" s="34">
        <v>0</v>
      </c>
      <c r="CA24" s="34">
        <v>488215.73</v>
      </c>
      <c r="CB24" s="34">
        <v>94612.32</v>
      </c>
      <c r="CC24" s="34">
        <v>0</v>
      </c>
      <c r="CD24" s="34">
        <v>0</v>
      </c>
      <c r="CE24" s="34">
        <v>380516.39</v>
      </c>
      <c r="CF24" s="34">
        <v>0</v>
      </c>
      <c r="CJ24" s="28">
        <f t="shared" si="3"/>
        <v>4643874.8</v>
      </c>
      <c r="CK24" s="28">
        <v>113832</v>
      </c>
      <c r="CM24" s="34">
        <f t="shared" si="0"/>
        <v>46193.5</v>
      </c>
      <c r="CN24" s="34">
        <f t="shared" si="4"/>
        <v>0</v>
      </c>
      <c r="CQ24" s="28">
        <f>IF('Gen ed tchrs'!$V20&gt;37,2*113832,IF('Gen ed tchrs'!$V20&gt;25,1.5*113832,113832))</f>
        <v>113832</v>
      </c>
      <c r="CR24" s="28">
        <f>IF('Gen ed tchrs'!$V20&gt;37,2*113832,IF('Gen ed tchrs'!$V20&gt;25,1.5*113832,113832))</f>
        <v>113832</v>
      </c>
      <c r="CS24" s="28">
        <f>IF('Gen ed tchrs'!$V20&gt;39.1,3.5*113832,IF('Gen ed tchrs'!$V20&gt;33.1,3*113832,IF('Gen ed tchrs'!$V20&gt;26.1,2.5*113832,IF('Gen ed tchrs'!$V20&gt;20.1,2*113832,IF('Gen ed tchrs'!$V20&gt;13.1,1.5*113832,113832)))))</f>
        <v>170748</v>
      </c>
      <c r="CT24" s="34">
        <f>VLOOKUP($A24,'PosxSchpostCouncil 22'!$A$6:$DP$121,94,FALSE)*CT$123</f>
        <v>78332.86</v>
      </c>
      <c r="CU24" s="28">
        <f>VLOOKUP($A24,'Gen ed tchrs'!A20:R135,18,FALSE)*CU$123</f>
        <v>1252156.95</v>
      </c>
      <c r="CV24" s="28">
        <f>'Gen ed tchrs'!Z20*CV$123/2</f>
        <v>56916.224999999999</v>
      </c>
      <c r="DB24" s="28">
        <f t="shared" si="5"/>
        <v>1945843.5350000001</v>
      </c>
      <c r="DC24" s="28">
        <f t="shared" si="6"/>
        <v>1105005</v>
      </c>
      <c r="DD24" s="28">
        <f t="shared" si="1"/>
        <v>380516.39</v>
      </c>
      <c r="DE24" s="28">
        <f t="shared" si="7"/>
        <v>1485521.3900000001</v>
      </c>
      <c r="DF24" s="6">
        <f t="shared" si="8"/>
        <v>-460322.14500000002</v>
      </c>
      <c r="DM24" s="34"/>
      <c r="DN24" s="34"/>
    </row>
    <row r="25" spans="1:118" x14ac:dyDescent="0.2">
      <c r="A25">
        <v>247</v>
      </c>
      <c r="B25" t="s">
        <v>105</v>
      </c>
      <c r="C25" t="s">
        <v>7</v>
      </c>
      <c r="D25">
        <v>7</v>
      </c>
      <c r="E25">
        <v>238</v>
      </c>
      <c r="F25">
        <v>190</v>
      </c>
      <c r="G25">
        <v>188</v>
      </c>
      <c r="H25" s="50">
        <f t="shared" si="2"/>
        <v>2</v>
      </c>
      <c r="I25" s="4">
        <v>0.78151260504201681</v>
      </c>
      <c r="J25">
        <v>186</v>
      </c>
      <c r="K25" s="34">
        <v>198942.26</v>
      </c>
      <c r="L25" s="34">
        <v>0</v>
      </c>
      <c r="M25" s="34">
        <v>0</v>
      </c>
      <c r="N25" s="34">
        <v>71961.03</v>
      </c>
      <c r="O25" s="34">
        <v>6031.15</v>
      </c>
      <c r="P25" s="34">
        <v>79024.509999999995</v>
      </c>
      <c r="Q25" s="34">
        <v>60058.83</v>
      </c>
      <c r="R25" s="34">
        <v>51187.26</v>
      </c>
      <c r="S25" s="34">
        <v>113832.45</v>
      </c>
      <c r="T25" s="34">
        <v>0</v>
      </c>
      <c r="U25" s="34">
        <v>341497.34</v>
      </c>
      <c r="V25" s="34">
        <v>0</v>
      </c>
      <c r="W25" s="34">
        <v>117499.28</v>
      </c>
      <c r="X25" s="34">
        <v>86011.199999999997</v>
      </c>
      <c r="Y25" s="34">
        <v>0</v>
      </c>
      <c r="Z25" s="34">
        <v>0</v>
      </c>
      <c r="AA25" s="34">
        <v>0</v>
      </c>
      <c r="AB25" s="34">
        <v>0</v>
      </c>
      <c r="AC25" s="34">
        <v>0</v>
      </c>
      <c r="AD25" s="34">
        <v>0</v>
      </c>
      <c r="AE25" s="34">
        <v>0</v>
      </c>
      <c r="AF25" s="34">
        <v>1134870</v>
      </c>
      <c r="AG25" s="34">
        <v>77350</v>
      </c>
      <c r="AH25" s="34">
        <v>113832.45</v>
      </c>
      <c r="AI25" s="34">
        <v>227664.89</v>
      </c>
      <c r="AJ25" s="34">
        <v>341497.34</v>
      </c>
      <c r="AK25" s="34">
        <v>455329.78</v>
      </c>
      <c r="AL25" s="34">
        <v>234998.56</v>
      </c>
      <c r="AM25" s="34">
        <v>0</v>
      </c>
      <c r="AN25" s="34">
        <v>0</v>
      </c>
      <c r="AO25" s="34">
        <v>0</v>
      </c>
      <c r="AP25" s="34">
        <v>82427.399999999994</v>
      </c>
      <c r="AQ25" s="34">
        <v>0</v>
      </c>
      <c r="AR25" s="34">
        <v>0</v>
      </c>
      <c r="AS25" s="34">
        <v>15936.54</v>
      </c>
      <c r="AT25" s="34">
        <v>0</v>
      </c>
      <c r="AU25" s="34">
        <v>5375.7</v>
      </c>
      <c r="AV25" s="34">
        <v>13600</v>
      </c>
      <c r="AW25" s="34">
        <v>6800</v>
      </c>
      <c r="AX25" s="34">
        <v>10200</v>
      </c>
      <c r="AY25" s="34">
        <v>0</v>
      </c>
      <c r="AZ25" s="34">
        <v>13600</v>
      </c>
      <c r="BA25" s="34">
        <v>0</v>
      </c>
      <c r="BB25" s="34">
        <v>6800</v>
      </c>
      <c r="BC25" s="34">
        <v>128801.12</v>
      </c>
      <c r="BD25" s="34">
        <v>2074.67</v>
      </c>
      <c r="BE25" s="34">
        <v>0</v>
      </c>
      <c r="BF25" s="34">
        <v>113832.45</v>
      </c>
      <c r="BG25" s="34">
        <v>0</v>
      </c>
      <c r="BH25" s="34">
        <v>0</v>
      </c>
      <c r="BI25" s="34">
        <v>0</v>
      </c>
      <c r="BJ25" s="34">
        <v>0</v>
      </c>
      <c r="BK25" s="34">
        <v>0</v>
      </c>
      <c r="BL25" s="34">
        <v>0</v>
      </c>
      <c r="BM25" s="34">
        <v>0</v>
      </c>
      <c r="BN25" s="34">
        <v>0</v>
      </c>
      <c r="BO25" s="34">
        <v>0</v>
      </c>
      <c r="BP25" s="34">
        <v>0</v>
      </c>
      <c r="BQ25" s="34">
        <v>0</v>
      </c>
      <c r="BR25" s="34">
        <v>0</v>
      </c>
      <c r="BS25" s="34">
        <v>0</v>
      </c>
      <c r="BT25" s="34">
        <v>0</v>
      </c>
      <c r="BU25" s="34">
        <v>15325</v>
      </c>
      <c r="BV25" s="34">
        <v>0</v>
      </c>
      <c r="BW25" s="34">
        <v>0</v>
      </c>
      <c r="BX25" s="34">
        <v>0</v>
      </c>
      <c r="BY25" s="34">
        <v>0</v>
      </c>
      <c r="BZ25" s="34">
        <v>0</v>
      </c>
      <c r="CA25" s="34">
        <v>498945.74</v>
      </c>
      <c r="CB25" s="34">
        <v>108469.68</v>
      </c>
      <c r="CC25" s="34">
        <v>0</v>
      </c>
      <c r="CD25" s="34">
        <v>0</v>
      </c>
      <c r="CE25" s="34">
        <v>343961.63</v>
      </c>
      <c r="CF25" s="34">
        <v>0</v>
      </c>
      <c r="CJ25" s="28">
        <f t="shared" si="3"/>
        <v>5077738.2600000007</v>
      </c>
      <c r="CK25" s="28">
        <v>113832</v>
      </c>
      <c r="CM25" s="34">
        <f t="shared" si="0"/>
        <v>46193.5</v>
      </c>
      <c r="CN25" s="34">
        <f t="shared" si="4"/>
        <v>0</v>
      </c>
      <c r="CQ25" s="28">
        <f>IF('Gen ed tchrs'!$V21&gt;37,2*113832,IF('Gen ed tchrs'!$V21&gt;25,1.5*113832,113832))</f>
        <v>113832</v>
      </c>
      <c r="CR25" s="28">
        <f>IF('Gen ed tchrs'!$V21&gt;37,2*113832,IF('Gen ed tchrs'!$V21&gt;25,1.5*113832,113832))</f>
        <v>113832</v>
      </c>
      <c r="CS25" s="28">
        <f>IF('Gen ed tchrs'!$V21&gt;39.1,3.5*113832,IF('Gen ed tchrs'!$V21&gt;33.1,3*113832,IF('Gen ed tchrs'!$V21&gt;26.1,2.5*113832,IF('Gen ed tchrs'!$V21&gt;20.1,2*113832,IF('Gen ed tchrs'!$V21&gt;13.1,1.5*113832,113832)))))</f>
        <v>170748</v>
      </c>
      <c r="CT25" s="34">
        <f>VLOOKUP($A25,'PosxSchpostCouncil 22'!$A$6:$DP$121,94,FALSE)*CT$123</f>
        <v>78332.86</v>
      </c>
      <c r="CU25" s="28">
        <f>VLOOKUP($A25,'Gen ed tchrs'!A21:R136,18,FALSE)*CU$123</f>
        <v>1365989.4</v>
      </c>
      <c r="CV25" s="28">
        <f>'Gen ed tchrs'!Z21*CV$123/2</f>
        <v>56916.224999999999</v>
      </c>
      <c r="DB25" s="28">
        <f t="shared" si="5"/>
        <v>2059675.9849999999</v>
      </c>
      <c r="DC25" s="28">
        <f t="shared" si="6"/>
        <v>1134870</v>
      </c>
      <c r="DD25" s="28">
        <f t="shared" si="1"/>
        <v>343961.63</v>
      </c>
      <c r="DE25" s="28">
        <f t="shared" si="7"/>
        <v>1478831.63</v>
      </c>
      <c r="DF25" s="6">
        <f t="shared" si="8"/>
        <v>-580844.35499999998</v>
      </c>
      <c r="DM25" s="34"/>
      <c r="DN25" s="34"/>
    </row>
    <row r="26" spans="1:118" x14ac:dyDescent="0.2">
      <c r="A26">
        <v>360</v>
      </c>
      <c r="B26" t="s">
        <v>104</v>
      </c>
      <c r="C26" t="s">
        <v>4</v>
      </c>
      <c r="D26">
        <v>6</v>
      </c>
      <c r="E26">
        <v>396</v>
      </c>
      <c r="F26">
        <v>288</v>
      </c>
      <c r="G26">
        <v>248</v>
      </c>
      <c r="H26" s="50">
        <f t="shared" si="2"/>
        <v>40</v>
      </c>
      <c r="I26" s="4">
        <v>0.1994949494949495</v>
      </c>
      <c r="J26">
        <v>79</v>
      </c>
      <c r="K26" s="34">
        <v>198942.26</v>
      </c>
      <c r="L26" s="34">
        <v>56916.22</v>
      </c>
      <c r="M26" s="34">
        <v>0</v>
      </c>
      <c r="N26" s="34">
        <v>71961.03</v>
      </c>
      <c r="O26" s="34">
        <v>7633.55</v>
      </c>
      <c r="P26" s="34">
        <v>79024.509999999995</v>
      </c>
      <c r="Q26" s="34">
        <v>60058.83</v>
      </c>
      <c r="R26" s="34">
        <v>153561.79</v>
      </c>
      <c r="S26" s="34">
        <v>113832.45</v>
      </c>
      <c r="T26" s="34">
        <v>0</v>
      </c>
      <c r="U26" s="34">
        <v>910659.57</v>
      </c>
      <c r="V26" s="34">
        <v>0</v>
      </c>
      <c r="W26" s="34">
        <v>313331.40999999997</v>
      </c>
      <c r="X26" s="34">
        <v>193525.2</v>
      </c>
      <c r="Y26" s="34">
        <v>0</v>
      </c>
      <c r="Z26" s="34">
        <v>0</v>
      </c>
      <c r="AA26" s="34">
        <v>430056</v>
      </c>
      <c r="AB26" s="34">
        <v>0</v>
      </c>
      <c r="AC26" s="34">
        <v>0</v>
      </c>
      <c r="AD26" s="34">
        <v>0</v>
      </c>
      <c r="AE26" s="34">
        <v>0</v>
      </c>
      <c r="AF26" s="34">
        <v>1720224</v>
      </c>
      <c r="AG26" s="34">
        <v>130680</v>
      </c>
      <c r="AH26" s="34">
        <v>113832.45</v>
      </c>
      <c r="AI26" s="34">
        <v>113832.45</v>
      </c>
      <c r="AJ26" s="34">
        <v>341497.34</v>
      </c>
      <c r="AK26" s="34">
        <v>0</v>
      </c>
      <c r="AL26" s="34">
        <v>0</v>
      </c>
      <c r="AM26" s="34">
        <v>0</v>
      </c>
      <c r="AN26" s="34">
        <v>0</v>
      </c>
      <c r="AO26" s="34">
        <v>0</v>
      </c>
      <c r="AP26" s="34">
        <v>77051.7</v>
      </c>
      <c r="AQ26" s="34">
        <v>0</v>
      </c>
      <c r="AR26" s="34">
        <v>56916.22</v>
      </c>
      <c r="AS26" s="34">
        <v>0</v>
      </c>
      <c r="AT26" s="34">
        <v>0</v>
      </c>
      <c r="AU26" s="34">
        <v>19710.900000000001</v>
      </c>
      <c r="AV26" s="34">
        <v>0</v>
      </c>
      <c r="AW26" s="34">
        <v>0</v>
      </c>
      <c r="AX26" s="34">
        <v>0</v>
      </c>
      <c r="AY26" s="34">
        <v>0</v>
      </c>
      <c r="AZ26" s="34">
        <v>0</v>
      </c>
      <c r="BA26" s="34">
        <v>0</v>
      </c>
      <c r="BB26" s="34">
        <v>0</v>
      </c>
      <c r="BC26" s="34">
        <v>0</v>
      </c>
      <c r="BD26" s="34">
        <v>0</v>
      </c>
      <c r="BE26" s="34">
        <v>9900</v>
      </c>
      <c r="BF26" s="34">
        <v>0</v>
      </c>
      <c r="BG26" s="34">
        <v>0</v>
      </c>
      <c r="BH26" s="34">
        <v>0</v>
      </c>
      <c r="BI26" s="34">
        <v>0</v>
      </c>
      <c r="BJ26" s="34">
        <v>0</v>
      </c>
      <c r="BK26" s="34">
        <v>0</v>
      </c>
      <c r="BL26" s="34">
        <v>0</v>
      </c>
      <c r="BM26" s="34">
        <v>0</v>
      </c>
      <c r="BN26" s="34">
        <v>0</v>
      </c>
      <c r="BO26" s="34">
        <v>0</v>
      </c>
      <c r="BP26" s="34">
        <v>0</v>
      </c>
      <c r="BQ26" s="34">
        <v>0</v>
      </c>
      <c r="BR26" s="34">
        <v>0</v>
      </c>
      <c r="BS26" s="34">
        <v>0</v>
      </c>
      <c r="BT26" s="34">
        <v>0</v>
      </c>
      <c r="BU26" s="34">
        <v>15325</v>
      </c>
      <c r="BV26" s="34">
        <v>0</v>
      </c>
      <c r="BW26" s="34">
        <v>0</v>
      </c>
      <c r="BX26" s="34">
        <v>0</v>
      </c>
      <c r="BY26" s="34">
        <v>0</v>
      </c>
      <c r="BZ26" s="34">
        <v>0</v>
      </c>
      <c r="CA26" s="34">
        <v>211917.82</v>
      </c>
      <c r="CB26" s="34">
        <v>0</v>
      </c>
      <c r="CC26" s="34">
        <v>190026.03</v>
      </c>
      <c r="CD26" s="34">
        <v>69580.41</v>
      </c>
      <c r="CE26" s="34">
        <v>0</v>
      </c>
      <c r="CF26" s="34">
        <v>0</v>
      </c>
      <c r="CJ26" s="28">
        <f t="shared" si="3"/>
        <v>5659997.1400000015</v>
      </c>
      <c r="CK26" s="28">
        <v>113832</v>
      </c>
      <c r="CL26" s="28">
        <f>E26/400*CL$123</f>
        <v>156974.39999999999</v>
      </c>
      <c r="CM26" s="34">
        <f t="shared" si="0"/>
        <v>92387</v>
      </c>
      <c r="CN26" s="34">
        <f t="shared" si="4"/>
        <v>0</v>
      </c>
      <c r="CQ26" s="28">
        <v>113832.45</v>
      </c>
      <c r="CR26" s="28">
        <v>113832.45</v>
      </c>
      <c r="CS26" s="28">
        <f>1.5*$CQ$123</f>
        <v>170748.67499999999</v>
      </c>
      <c r="CT26" s="34">
        <f>VLOOKUP($A26,'PosxSchpostCouncil 22'!$A$6:$DP$121,94,FALSE)*CT$123</f>
        <v>78332.86</v>
      </c>
      <c r="CU26" s="28">
        <f>VLOOKUP($A26,'Gen ed tchrs'!A22:R137,18,FALSE)*CU$123</f>
        <v>2048984.0999999999</v>
      </c>
      <c r="CV26" s="28">
        <f>'Gen ed tchrs'!Z22*CV$123/2</f>
        <v>71572.152937499995</v>
      </c>
      <c r="DB26" s="28">
        <f t="shared" si="5"/>
        <v>2960496.0879374999</v>
      </c>
      <c r="DC26" s="28">
        <f t="shared" si="6"/>
        <v>2150280</v>
      </c>
      <c r="DD26" s="28">
        <f t="shared" si="1"/>
        <v>259606.44</v>
      </c>
      <c r="DE26" s="28">
        <f t="shared" si="7"/>
        <v>2409886.44</v>
      </c>
      <c r="DF26" s="6">
        <f t="shared" si="8"/>
        <v>-550609.64793749992</v>
      </c>
      <c r="DM26" s="34"/>
      <c r="DN26" s="34"/>
    </row>
    <row r="27" spans="1:118" x14ac:dyDescent="0.2">
      <c r="A27">
        <v>454</v>
      </c>
      <c r="B27" t="s">
        <v>103</v>
      </c>
      <c r="C27" t="s">
        <v>100</v>
      </c>
      <c r="D27">
        <v>1</v>
      </c>
      <c r="E27">
        <v>652</v>
      </c>
      <c r="F27">
        <v>652</v>
      </c>
      <c r="G27">
        <v>640</v>
      </c>
      <c r="H27" s="50">
        <f t="shared" si="2"/>
        <v>12</v>
      </c>
      <c r="I27" s="4">
        <v>0.79447852760736193</v>
      </c>
      <c r="J27">
        <v>518</v>
      </c>
      <c r="K27" s="34">
        <v>198942.26</v>
      </c>
      <c r="L27" s="34">
        <v>56916.22</v>
      </c>
      <c r="M27" s="34">
        <v>256849.86</v>
      </c>
      <c r="N27" s="34">
        <v>71961.03</v>
      </c>
      <c r="O27" s="34">
        <v>37854.019999999997</v>
      </c>
      <c r="P27" s="34">
        <v>79024.509999999995</v>
      </c>
      <c r="Q27" s="34">
        <v>60058.83</v>
      </c>
      <c r="R27" s="34">
        <v>614247.17000000004</v>
      </c>
      <c r="S27" s="34">
        <v>113832.45</v>
      </c>
      <c r="T27" s="34">
        <v>0</v>
      </c>
      <c r="U27" s="34">
        <v>0</v>
      </c>
      <c r="V27" s="34">
        <v>0</v>
      </c>
      <c r="W27" s="34">
        <v>0</v>
      </c>
      <c r="X27" s="34">
        <v>0</v>
      </c>
      <c r="Y27" s="34">
        <v>0</v>
      </c>
      <c r="Z27" s="34">
        <v>0</v>
      </c>
      <c r="AA27" s="34">
        <v>0</v>
      </c>
      <c r="AB27" s="34">
        <v>341497.34</v>
      </c>
      <c r="AC27" s="34">
        <v>0</v>
      </c>
      <c r="AD27" s="34">
        <v>0</v>
      </c>
      <c r="AE27" s="34">
        <v>227664.89</v>
      </c>
      <c r="AF27" s="34">
        <v>3894396</v>
      </c>
      <c r="AG27" s="34">
        <v>386636</v>
      </c>
      <c r="AH27" s="34">
        <v>227664.89</v>
      </c>
      <c r="AI27" s="34">
        <v>796827.12</v>
      </c>
      <c r="AJ27" s="34">
        <v>1252156.9099999999</v>
      </c>
      <c r="AK27" s="34">
        <v>1252156.9099999999</v>
      </c>
      <c r="AL27" s="34">
        <v>509163.55</v>
      </c>
      <c r="AM27" s="34">
        <v>0</v>
      </c>
      <c r="AN27" s="34">
        <v>172674.17</v>
      </c>
      <c r="AO27" s="34">
        <v>0</v>
      </c>
      <c r="AP27" s="34">
        <v>344044.79999999999</v>
      </c>
      <c r="AQ27" s="34">
        <v>0</v>
      </c>
      <c r="AR27" s="34">
        <v>1593654.25</v>
      </c>
      <c r="AS27" s="34">
        <v>0</v>
      </c>
      <c r="AT27" s="34">
        <v>78332.850000000006</v>
      </c>
      <c r="AU27" s="34">
        <v>537570</v>
      </c>
      <c r="AV27" s="34">
        <v>0</v>
      </c>
      <c r="AW27" s="34">
        <v>0</v>
      </c>
      <c r="AX27" s="34">
        <v>0</v>
      </c>
      <c r="AY27" s="34">
        <v>65000</v>
      </c>
      <c r="AZ27" s="34">
        <v>0</v>
      </c>
      <c r="BA27" s="34">
        <v>0</v>
      </c>
      <c r="BB27" s="34">
        <v>0</v>
      </c>
      <c r="BC27" s="34">
        <v>239851.5</v>
      </c>
      <c r="BD27" s="34">
        <v>3863.42</v>
      </c>
      <c r="BE27" s="34">
        <v>0</v>
      </c>
      <c r="BF27" s="34">
        <v>0</v>
      </c>
      <c r="BG27" s="34">
        <v>158559.82</v>
      </c>
      <c r="BH27" s="34">
        <v>14216.09</v>
      </c>
      <c r="BI27" s="34">
        <v>11000</v>
      </c>
      <c r="BJ27" s="34">
        <v>34000</v>
      </c>
      <c r="BK27" s="34">
        <v>0</v>
      </c>
      <c r="BL27" s="34">
        <v>0</v>
      </c>
      <c r="BM27" s="34">
        <v>0</v>
      </c>
      <c r="BN27" s="34">
        <v>0</v>
      </c>
      <c r="BO27" s="34">
        <v>0</v>
      </c>
      <c r="BP27" s="34">
        <v>0</v>
      </c>
      <c r="BQ27" s="34">
        <v>113832.45</v>
      </c>
      <c r="BR27" s="34">
        <v>0</v>
      </c>
      <c r="BS27" s="34">
        <v>140941</v>
      </c>
      <c r="BT27" s="34">
        <v>5000</v>
      </c>
      <c r="BU27" s="34">
        <v>0</v>
      </c>
      <c r="BV27" s="34">
        <v>0</v>
      </c>
      <c r="BW27" s="34">
        <v>110842</v>
      </c>
      <c r="BX27" s="34">
        <v>147878.60999999999</v>
      </c>
      <c r="BY27" s="34">
        <v>0</v>
      </c>
      <c r="BZ27" s="34">
        <v>0</v>
      </c>
      <c r="CA27" s="34">
        <v>1519638.52</v>
      </c>
      <c r="CB27" s="34">
        <v>380838.48</v>
      </c>
      <c r="CC27" s="34">
        <v>0</v>
      </c>
      <c r="CD27" s="34">
        <v>0</v>
      </c>
      <c r="CE27" s="34">
        <v>0</v>
      </c>
      <c r="CF27" s="34">
        <v>0</v>
      </c>
      <c r="CJ27" s="28">
        <f t="shared" si="3"/>
        <v>16049587.92</v>
      </c>
      <c r="CK27" s="28">
        <v>113832</v>
      </c>
      <c r="CL27" s="28">
        <f>E27/300*CL$123</f>
        <v>344603.73333333334</v>
      </c>
      <c r="CM27" s="34">
        <f t="shared" si="0"/>
        <v>92387</v>
      </c>
      <c r="CN27" s="34">
        <f t="shared" si="4"/>
        <v>32900.613496932514</v>
      </c>
      <c r="CO27" s="28">
        <f>CO$123</f>
        <v>58500</v>
      </c>
      <c r="CP27" s="28">
        <f>CP$123</f>
        <v>70673</v>
      </c>
      <c r="CU27" s="28">
        <f>VLOOKUP($A27,'Gen ed tchrs'!A23:R138,18,FALSE)*CU$123</f>
        <v>4211800.6499999994</v>
      </c>
      <c r="CV27" s="28">
        <f>'Gen ed tchrs'!Z23*CV$123/2</f>
        <v>77975.22825</v>
      </c>
      <c r="CW27" s="34">
        <v>119483</v>
      </c>
      <c r="DB27" s="28">
        <f t="shared" si="5"/>
        <v>5122155.2250802647</v>
      </c>
      <c r="DC27" s="28">
        <f t="shared" si="6"/>
        <v>3894396</v>
      </c>
      <c r="DD27" s="28">
        <f t="shared" si="1"/>
        <v>0</v>
      </c>
      <c r="DE27" s="28">
        <f t="shared" si="7"/>
        <v>3894396</v>
      </c>
      <c r="DF27" s="6">
        <f t="shared" si="8"/>
        <v>-1227759.2250802647</v>
      </c>
      <c r="DM27" s="34"/>
      <c r="DN27" s="34"/>
    </row>
    <row r="28" spans="1:118" x14ac:dyDescent="0.2">
      <c r="A28">
        <v>224</v>
      </c>
      <c r="B28" t="s">
        <v>102</v>
      </c>
      <c r="C28" t="s">
        <v>7</v>
      </c>
      <c r="D28">
        <v>1</v>
      </c>
      <c r="E28">
        <v>277</v>
      </c>
      <c r="F28">
        <v>206</v>
      </c>
      <c r="G28">
        <v>225</v>
      </c>
      <c r="H28" s="50">
        <f t="shared" si="2"/>
        <v>-19</v>
      </c>
      <c r="I28" s="4">
        <v>0.46570397111913359</v>
      </c>
      <c r="J28">
        <v>129</v>
      </c>
      <c r="K28" s="34">
        <v>198942.26</v>
      </c>
      <c r="L28" s="34">
        <v>0</v>
      </c>
      <c r="M28" s="34">
        <v>0</v>
      </c>
      <c r="N28" s="34">
        <v>71961.03</v>
      </c>
      <c r="O28" s="34">
        <v>4892.45</v>
      </c>
      <c r="P28" s="34">
        <v>79024.509999999995</v>
      </c>
      <c r="Q28" s="34">
        <v>60058.83</v>
      </c>
      <c r="R28" s="34">
        <v>51187.26</v>
      </c>
      <c r="S28" s="34">
        <v>113832.45</v>
      </c>
      <c r="T28" s="34">
        <v>227664.89</v>
      </c>
      <c r="U28" s="34">
        <v>113832.45</v>
      </c>
      <c r="V28" s="34">
        <v>227664.89</v>
      </c>
      <c r="W28" s="34">
        <v>195832.13</v>
      </c>
      <c r="X28" s="34">
        <v>127224.9</v>
      </c>
      <c r="Y28" s="34">
        <v>0</v>
      </c>
      <c r="Z28" s="34">
        <v>0</v>
      </c>
      <c r="AA28" s="34">
        <v>0</v>
      </c>
      <c r="AB28" s="34">
        <v>0</v>
      </c>
      <c r="AC28" s="34">
        <v>0</v>
      </c>
      <c r="AD28" s="34">
        <v>0</v>
      </c>
      <c r="AE28" s="34">
        <v>0</v>
      </c>
      <c r="AF28" s="34">
        <v>1230438</v>
      </c>
      <c r="AG28" s="34">
        <v>90025</v>
      </c>
      <c r="AH28" s="34">
        <v>113832.45</v>
      </c>
      <c r="AI28" s="34">
        <v>227664.89</v>
      </c>
      <c r="AJ28" s="34">
        <v>227664.89</v>
      </c>
      <c r="AK28" s="34">
        <v>341497.34</v>
      </c>
      <c r="AL28" s="34">
        <v>156665.71</v>
      </c>
      <c r="AM28" s="34">
        <v>0</v>
      </c>
      <c r="AN28" s="34">
        <v>0</v>
      </c>
      <c r="AO28" s="34">
        <v>0</v>
      </c>
      <c r="AP28" s="34">
        <v>53757</v>
      </c>
      <c r="AQ28" s="34">
        <v>0</v>
      </c>
      <c r="AR28" s="34">
        <v>569162.23</v>
      </c>
      <c r="AS28" s="34">
        <v>0</v>
      </c>
      <c r="AT28" s="34">
        <v>0</v>
      </c>
      <c r="AU28" s="34">
        <v>179190</v>
      </c>
      <c r="AV28" s="34">
        <v>27200</v>
      </c>
      <c r="AW28" s="34">
        <v>27200</v>
      </c>
      <c r="AX28" s="34">
        <v>10200</v>
      </c>
      <c r="AY28" s="34">
        <v>0</v>
      </c>
      <c r="AZ28" s="34">
        <v>20400</v>
      </c>
      <c r="BA28" s="34">
        <v>0</v>
      </c>
      <c r="BB28" s="34">
        <v>20400</v>
      </c>
      <c r="BC28" s="34">
        <v>109968.02</v>
      </c>
      <c r="BD28" s="34">
        <v>1771.31</v>
      </c>
      <c r="BE28" s="34">
        <v>0</v>
      </c>
      <c r="BF28" s="34">
        <v>0</v>
      </c>
      <c r="BG28" s="34">
        <v>0</v>
      </c>
      <c r="BH28" s="34">
        <v>0</v>
      </c>
      <c r="BI28" s="34">
        <v>0</v>
      </c>
      <c r="BJ28" s="34">
        <v>0</v>
      </c>
      <c r="BK28" s="34">
        <v>0</v>
      </c>
      <c r="BL28" s="34">
        <v>0</v>
      </c>
      <c r="BM28" s="34">
        <v>0</v>
      </c>
      <c r="BN28" s="34">
        <v>0</v>
      </c>
      <c r="BO28" s="34">
        <v>0</v>
      </c>
      <c r="BP28" s="34">
        <v>29400</v>
      </c>
      <c r="BQ28" s="34">
        <v>0</v>
      </c>
      <c r="BR28" s="34">
        <v>0</v>
      </c>
      <c r="BS28" s="34">
        <v>0</v>
      </c>
      <c r="BT28" s="34">
        <v>0</v>
      </c>
      <c r="BU28" s="34">
        <v>15325</v>
      </c>
      <c r="BV28" s="34">
        <v>0</v>
      </c>
      <c r="BW28" s="34">
        <v>0</v>
      </c>
      <c r="BX28" s="34">
        <v>0</v>
      </c>
      <c r="BY28" s="34">
        <v>0</v>
      </c>
      <c r="BZ28" s="34">
        <v>0</v>
      </c>
      <c r="CA28" s="34">
        <v>346043.02</v>
      </c>
      <c r="CB28" s="34">
        <v>21741.72</v>
      </c>
      <c r="CC28" s="34">
        <v>0</v>
      </c>
      <c r="CD28" s="34">
        <v>0</v>
      </c>
      <c r="CE28" s="34">
        <v>262596.44</v>
      </c>
      <c r="CF28" s="34">
        <v>0</v>
      </c>
      <c r="CJ28" s="28">
        <f t="shared" si="3"/>
        <v>5554261.0700000003</v>
      </c>
      <c r="CK28" s="28">
        <v>113832</v>
      </c>
      <c r="CM28" s="34">
        <f t="shared" si="0"/>
        <v>46193.5</v>
      </c>
      <c r="CN28" s="34">
        <f t="shared" si="4"/>
        <v>0</v>
      </c>
      <c r="CQ28" s="28">
        <f>IF('Gen ed tchrs'!$V24&gt;37,2*113832,IF('Gen ed tchrs'!$V24&gt;25,1.5*113832,113832))</f>
        <v>113832</v>
      </c>
      <c r="CR28" s="28">
        <f>IF('Gen ed tchrs'!$V24&gt;37,2*113832,IF('Gen ed tchrs'!$V24&gt;25,1.5*113832,113832))</f>
        <v>113832</v>
      </c>
      <c r="CS28" s="28">
        <f>IF('Gen ed tchrs'!$V24&gt;39.1,3.5*113832,IF('Gen ed tchrs'!$V24&gt;33.1,3*113832,IF('Gen ed tchrs'!$V24&gt;26.1,2.5*113832,IF('Gen ed tchrs'!$V24&gt;20.1,2*113832,IF('Gen ed tchrs'!$V24&gt;13.1,1.5*113832,113832)))))</f>
        <v>170748</v>
      </c>
      <c r="CT28" s="34">
        <f>VLOOKUP($A28,'PosxSchpostCouncil 22'!$A$6:$DP$121,94,FALSE)*CT$123</f>
        <v>78332.86</v>
      </c>
      <c r="CU28" s="28">
        <f>VLOOKUP($A28,'Gen ed tchrs'!A24:R139,18,FALSE)*CU$123</f>
        <v>1479821.8499999999</v>
      </c>
      <c r="CV28" s="28">
        <f>'Gen ed tchrs'!Z24*CV$123/2</f>
        <v>56916.224999999999</v>
      </c>
      <c r="DB28" s="28">
        <f t="shared" si="5"/>
        <v>2173508.4350000001</v>
      </c>
      <c r="DC28" s="28">
        <f t="shared" si="6"/>
        <v>1230438</v>
      </c>
      <c r="DD28" s="28">
        <f t="shared" si="1"/>
        <v>262596.44</v>
      </c>
      <c r="DE28" s="28">
        <f t="shared" si="7"/>
        <v>1493034.44</v>
      </c>
      <c r="DF28" s="6">
        <f t="shared" si="8"/>
        <v>-680473.99500000011</v>
      </c>
      <c r="DM28" s="34"/>
      <c r="DN28" s="34"/>
    </row>
    <row r="29" spans="1:118" x14ac:dyDescent="0.2">
      <c r="A29">
        <v>442</v>
      </c>
      <c r="B29" t="s">
        <v>101</v>
      </c>
      <c r="C29" t="s">
        <v>100</v>
      </c>
      <c r="D29">
        <v>1</v>
      </c>
      <c r="E29">
        <v>1562</v>
      </c>
      <c r="F29">
        <v>1562</v>
      </c>
      <c r="G29">
        <v>1500</v>
      </c>
      <c r="H29" s="50">
        <f t="shared" si="2"/>
        <v>62</v>
      </c>
      <c r="I29" s="4">
        <v>0.55377720870678615</v>
      </c>
      <c r="J29">
        <v>865</v>
      </c>
      <c r="K29" s="34">
        <v>198942.26</v>
      </c>
      <c r="L29" s="34">
        <v>170748.67</v>
      </c>
      <c r="M29" s="34">
        <v>577912.18999999994</v>
      </c>
      <c r="N29" s="34">
        <v>71961.03</v>
      </c>
      <c r="O29" s="34">
        <v>23156.959999999999</v>
      </c>
      <c r="P29" s="34">
        <v>79024.509999999995</v>
      </c>
      <c r="Q29" s="34">
        <v>60058.83</v>
      </c>
      <c r="R29" s="34">
        <v>460685.38</v>
      </c>
      <c r="S29" s="34">
        <v>227664.89</v>
      </c>
      <c r="T29" s="34">
        <v>0</v>
      </c>
      <c r="U29" s="34">
        <v>0</v>
      </c>
      <c r="V29" s="34">
        <v>0</v>
      </c>
      <c r="W29" s="34">
        <v>0</v>
      </c>
      <c r="X29" s="34">
        <v>0</v>
      </c>
      <c r="Y29" s="34">
        <v>0</v>
      </c>
      <c r="Z29" s="34">
        <v>0</v>
      </c>
      <c r="AA29" s="34">
        <v>0</v>
      </c>
      <c r="AB29" s="34">
        <v>682994.68</v>
      </c>
      <c r="AC29" s="34">
        <v>0</v>
      </c>
      <c r="AD29" s="34">
        <v>0</v>
      </c>
      <c r="AE29" s="34">
        <v>227664.89</v>
      </c>
      <c r="AF29" s="34">
        <v>9329826</v>
      </c>
      <c r="AG29" s="34">
        <v>926266</v>
      </c>
      <c r="AH29" s="34">
        <v>341497.34</v>
      </c>
      <c r="AI29" s="34">
        <v>569162.23</v>
      </c>
      <c r="AJ29" s="34">
        <v>2731978.71</v>
      </c>
      <c r="AK29" s="34">
        <v>227664.89</v>
      </c>
      <c r="AL29" s="34">
        <v>78332.850000000006</v>
      </c>
      <c r="AM29" s="34">
        <v>0</v>
      </c>
      <c r="AN29" s="34">
        <v>0</v>
      </c>
      <c r="AO29" s="34">
        <v>0</v>
      </c>
      <c r="AP29" s="34">
        <v>444391.2</v>
      </c>
      <c r="AQ29" s="34">
        <v>0</v>
      </c>
      <c r="AR29" s="34">
        <v>3301140.94</v>
      </c>
      <c r="AS29" s="34">
        <v>0</v>
      </c>
      <c r="AT29" s="34">
        <v>78332.850000000006</v>
      </c>
      <c r="AU29" s="34">
        <v>1137856.5</v>
      </c>
      <c r="AV29" s="34">
        <v>0</v>
      </c>
      <c r="AW29" s="34">
        <v>0</v>
      </c>
      <c r="AX29" s="34">
        <v>0</v>
      </c>
      <c r="AY29" s="34">
        <v>80000</v>
      </c>
      <c r="AZ29" s="34">
        <v>0</v>
      </c>
      <c r="BA29" s="34">
        <v>0</v>
      </c>
      <c r="BB29" s="34">
        <v>0</v>
      </c>
      <c r="BC29" s="34">
        <v>476239.44</v>
      </c>
      <c r="BD29" s="34">
        <v>7671.04</v>
      </c>
      <c r="BE29" s="34">
        <v>0</v>
      </c>
      <c r="BF29" s="34">
        <v>0</v>
      </c>
      <c r="BG29" s="34">
        <v>0</v>
      </c>
      <c r="BH29" s="34">
        <v>0</v>
      </c>
      <c r="BI29" s="34">
        <v>0</v>
      </c>
      <c r="BJ29" s="34">
        <v>39600</v>
      </c>
      <c r="BK29" s="34">
        <v>0</v>
      </c>
      <c r="BL29" s="34">
        <v>0</v>
      </c>
      <c r="BM29" s="34">
        <v>0</v>
      </c>
      <c r="BN29" s="34">
        <v>0</v>
      </c>
      <c r="BO29" s="34">
        <v>0</v>
      </c>
      <c r="BP29" s="34">
        <v>285400</v>
      </c>
      <c r="BQ29" s="34">
        <v>0</v>
      </c>
      <c r="BR29" s="34">
        <v>0</v>
      </c>
      <c r="BS29" s="34">
        <v>0</v>
      </c>
      <c r="BT29" s="34">
        <v>0</v>
      </c>
      <c r="BU29" s="34">
        <v>0</v>
      </c>
      <c r="BV29" s="34">
        <v>0</v>
      </c>
      <c r="BW29" s="34">
        <v>137551</v>
      </c>
      <c r="BX29" s="34">
        <v>295757.21000000002</v>
      </c>
      <c r="BY29" s="34">
        <v>119483.41</v>
      </c>
      <c r="BZ29" s="34">
        <v>0</v>
      </c>
      <c r="CA29" s="34">
        <v>2532283.7799999998</v>
      </c>
      <c r="CB29" s="34">
        <v>286942.92</v>
      </c>
      <c r="CC29" s="34">
        <v>0</v>
      </c>
      <c r="CD29" s="34">
        <v>0</v>
      </c>
      <c r="CE29" s="34">
        <v>0</v>
      </c>
      <c r="CF29" s="34">
        <v>0</v>
      </c>
      <c r="CJ29" s="28">
        <f t="shared" si="3"/>
        <v>26208192.600000009</v>
      </c>
      <c r="CK29" s="28">
        <v>113832</v>
      </c>
      <c r="CL29" s="28">
        <f t="shared" ref="CL29:CL31" si="15">E29/300*CL$123</f>
        <v>825569.06666666677</v>
      </c>
      <c r="CM29" s="34">
        <f t="shared" si="0"/>
        <v>92387</v>
      </c>
      <c r="CN29" s="34">
        <f t="shared" si="4"/>
        <v>13733.162612035851</v>
      </c>
      <c r="CO29" s="28">
        <f t="shared" ref="CO29:CP30" si="16">CO$123</f>
        <v>58500</v>
      </c>
      <c r="CP29" s="28">
        <f t="shared" si="16"/>
        <v>70673</v>
      </c>
      <c r="CU29" s="28">
        <f>VLOOKUP($A29,'Gen ed tchrs'!A25:R140,18,FALSE)*CU$123</f>
        <v>8992763.5499999989</v>
      </c>
      <c r="CV29" s="28">
        <f>'Gen ed tchrs'!Z25*CV$123/2</f>
        <v>-51509.183625000012</v>
      </c>
      <c r="CW29" s="34">
        <v>119483</v>
      </c>
      <c r="DB29" s="28">
        <f t="shared" si="5"/>
        <v>10235431.595653702</v>
      </c>
      <c r="DC29" s="28">
        <f t="shared" si="6"/>
        <v>9329826</v>
      </c>
      <c r="DD29" s="28">
        <f t="shared" si="1"/>
        <v>0</v>
      </c>
      <c r="DE29" s="28">
        <f t="shared" si="7"/>
        <v>9329826</v>
      </c>
      <c r="DF29" s="6">
        <f t="shared" si="8"/>
        <v>-905605.59565370157</v>
      </c>
      <c r="DM29" s="34"/>
      <c r="DN29" s="34"/>
    </row>
    <row r="30" spans="1:118" x14ac:dyDescent="0.2">
      <c r="A30">
        <v>455</v>
      </c>
      <c r="B30" t="s">
        <v>99</v>
      </c>
      <c r="C30" t="s">
        <v>1</v>
      </c>
      <c r="D30">
        <v>4</v>
      </c>
      <c r="E30">
        <v>812</v>
      </c>
      <c r="F30">
        <v>812</v>
      </c>
      <c r="G30">
        <v>696</v>
      </c>
      <c r="H30" s="50">
        <f t="shared" si="2"/>
        <v>116</v>
      </c>
      <c r="I30" s="4">
        <v>0.61330049261083741</v>
      </c>
      <c r="J30">
        <v>498</v>
      </c>
      <c r="K30" s="34">
        <v>198942.26</v>
      </c>
      <c r="L30" s="34">
        <v>0</v>
      </c>
      <c r="M30" s="34">
        <v>449487.26</v>
      </c>
      <c r="N30" s="34">
        <v>71961.03</v>
      </c>
      <c r="O30" s="34">
        <v>26646.74</v>
      </c>
      <c r="P30" s="34">
        <v>79024.509999999995</v>
      </c>
      <c r="Q30" s="34">
        <v>60058.83</v>
      </c>
      <c r="R30" s="34">
        <v>409498.11</v>
      </c>
      <c r="S30" s="34">
        <v>113832.45</v>
      </c>
      <c r="T30" s="34">
        <v>0</v>
      </c>
      <c r="U30" s="34">
        <v>0</v>
      </c>
      <c r="V30" s="34">
        <v>0</v>
      </c>
      <c r="W30" s="34">
        <v>0</v>
      </c>
      <c r="X30" s="34">
        <v>0</v>
      </c>
      <c r="Y30" s="34">
        <v>0</v>
      </c>
      <c r="Z30" s="34">
        <v>0</v>
      </c>
      <c r="AA30" s="34">
        <v>0</v>
      </c>
      <c r="AB30" s="34">
        <v>341497.34</v>
      </c>
      <c r="AC30" s="34">
        <v>0</v>
      </c>
      <c r="AD30" s="34">
        <v>0</v>
      </c>
      <c r="AE30" s="34">
        <v>227664.89</v>
      </c>
      <c r="AF30" s="34">
        <v>4850076</v>
      </c>
      <c r="AG30" s="34">
        <v>481516</v>
      </c>
      <c r="AH30" s="34">
        <v>227664.89</v>
      </c>
      <c r="AI30" s="34">
        <v>455329.78</v>
      </c>
      <c r="AJ30" s="34">
        <v>1138324.46</v>
      </c>
      <c r="AK30" s="34">
        <v>569162.23</v>
      </c>
      <c r="AL30" s="34">
        <v>274164.99</v>
      </c>
      <c r="AM30" s="34">
        <v>0</v>
      </c>
      <c r="AN30" s="34">
        <v>57558.06</v>
      </c>
      <c r="AO30" s="34">
        <v>0</v>
      </c>
      <c r="AP30" s="34">
        <v>270576.90000000002</v>
      </c>
      <c r="AQ30" s="34">
        <v>0</v>
      </c>
      <c r="AR30" s="34">
        <v>1024492.02</v>
      </c>
      <c r="AS30" s="34">
        <v>0</v>
      </c>
      <c r="AT30" s="34">
        <v>39166.43</v>
      </c>
      <c r="AU30" s="34">
        <v>336877.2</v>
      </c>
      <c r="AV30" s="34">
        <v>0</v>
      </c>
      <c r="AW30" s="34">
        <v>0</v>
      </c>
      <c r="AX30" s="34">
        <v>0</v>
      </c>
      <c r="AY30" s="34">
        <v>60000</v>
      </c>
      <c r="AZ30" s="34">
        <v>0</v>
      </c>
      <c r="BA30" s="34">
        <v>0</v>
      </c>
      <c r="BB30" s="34">
        <v>0</v>
      </c>
      <c r="BC30" s="34">
        <v>299597.90000000002</v>
      </c>
      <c r="BD30" s="34">
        <v>4825.78</v>
      </c>
      <c r="BE30" s="34">
        <v>0</v>
      </c>
      <c r="BF30" s="34">
        <v>0</v>
      </c>
      <c r="BG30" s="34">
        <v>158559.82</v>
      </c>
      <c r="BH30" s="34">
        <v>8416.09</v>
      </c>
      <c r="BI30" s="34">
        <v>16800</v>
      </c>
      <c r="BJ30" s="34">
        <v>39600</v>
      </c>
      <c r="BK30" s="34">
        <v>0</v>
      </c>
      <c r="BL30" s="34">
        <v>0</v>
      </c>
      <c r="BM30" s="34">
        <v>0</v>
      </c>
      <c r="BN30" s="34">
        <v>0</v>
      </c>
      <c r="BO30" s="34">
        <v>147878.60999999999</v>
      </c>
      <c r="BP30" s="34">
        <v>0</v>
      </c>
      <c r="BQ30" s="34">
        <v>0</v>
      </c>
      <c r="BR30" s="34">
        <v>0</v>
      </c>
      <c r="BS30" s="34">
        <v>0</v>
      </c>
      <c r="BT30" s="34">
        <v>0</v>
      </c>
      <c r="BU30" s="34">
        <v>0</v>
      </c>
      <c r="BV30" s="34">
        <v>1000000</v>
      </c>
      <c r="BW30" s="34">
        <v>0</v>
      </c>
      <c r="BX30" s="34">
        <v>295757.21000000002</v>
      </c>
      <c r="BY30" s="34">
        <v>119483.41</v>
      </c>
      <c r="BZ30" s="34">
        <v>0</v>
      </c>
      <c r="CA30" s="34">
        <v>1490801.6</v>
      </c>
      <c r="CB30" s="34">
        <v>206904.72</v>
      </c>
      <c r="CC30" s="34">
        <v>0</v>
      </c>
      <c r="CD30" s="34">
        <v>0</v>
      </c>
      <c r="CE30" s="34">
        <v>0</v>
      </c>
      <c r="CF30" s="34">
        <v>0</v>
      </c>
      <c r="CJ30" s="28">
        <f t="shared" si="3"/>
        <v>15552147.520000001</v>
      </c>
      <c r="CK30" s="28">
        <v>113832</v>
      </c>
      <c r="CL30" s="28">
        <f t="shared" si="15"/>
        <v>429169.06666666665</v>
      </c>
      <c r="CM30" s="34">
        <f t="shared" si="0"/>
        <v>92387</v>
      </c>
      <c r="CN30" s="34">
        <f t="shared" si="4"/>
        <v>26417.733990147783</v>
      </c>
      <c r="CO30" s="28">
        <f t="shared" si="16"/>
        <v>58500</v>
      </c>
      <c r="CP30" s="28">
        <f t="shared" si="16"/>
        <v>70673</v>
      </c>
      <c r="CU30" s="28">
        <f>VLOOKUP($A30,'Gen ed tchrs'!A26:R141,18,FALSE)*CU$123</f>
        <v>5236292.7</v>
      </c>
      <c r="CV30" s="28">
        <f>'Gen ed tchrs'!Z26*CV$123/2</f>
        <v>169041.18825000001</v>
      </c>
      <c r="CW30" s="34">
        <v>119483</v>
      </c>
      <c r="DB30" s="28">
        <f t="shared" si="5"/>
        <v>6315795.688906814</v>
      </c>
      <c r="DC30" s="28">
        <f t="shared" si="6"/>
        <v>5850076</v>
      </c>
      <c r="DD30" s="28">
        <f t="shared" si="1"/>
        <v>0</v>
      </c>
      <c r="DE30" s="28">
        <f t="shared" si="7"/>
        <v>5850076</v>
      </c>
      <c r="DF30" s="6">
        <f t="shared" si="8"/>
        <v>-465719.68890681397</v>
      </c>
      <c r="DM30" s="34"/>
      <c r="DN30" s="34"/>
    </row>
    <row r="31" spans="1:118" x14ac:dyDescent="0.2">
      <c r="A31">
        <v>405</v>
      </c>
      <c r="B31" t="s">
        <v>98</v>
      </c>
      <c r="C31" t="s">
        <v>19</v>
      </c>
      <c r="D31">
        <v>3</v>
      </c>
      <c r="E31">
        <v>1405</v>
      </c>
      <c r="F31">
        <v>1405</v>
      </c>
      <c r="G31">
        <v>1466</v>
      </c>
      <c r="H31" s="50">
        <f t="shared" si="2"/>
        <v>-61</v>
      </c>
      <c r="I31" s="4">
        <v>0.10462633451957296</v>
      </c>
      <c r="J31">
        <v>147</v>
      </c>
      <c r="K31" s="34">
        <v>198942.26</v>
      </c>
      <c r="L31" s="34">
        <v>455329.78</v>
      </c>
      <c r="M31" s="34">
        <v>0</v>
      </c>
      <c r="N31" s="34">
        <v>71961.03</v>
      </c>
      <c r="O31" s="34">
        <v>15185.75</v>
      </c>
      <c r="P31" s="34">
        <v>79024.509999999995</v>
      </c>
      <c r="Q31" s="34">
        <v>60058.83</v>
      </c>
      <c r="R31" s="34">
        <v>409498.11</v>
      </c>
      <c r="S31" s="34">
        <v>113832.45</v>
      </c>
      <c r="T31" s="34">
        <v>0</v>
      </c>
      <c r="U31" s="34">
        <v>0</v>
      </c>
      <c r="V31" s="34">
        <v>0</v>
      </c>
      <c r="W31" s="34">
        <v>0</v>
      </c>
      <c r="X31" s="34">
        <v>0</v>
      </c>
      <c r="Y31" s="34">
        <v>0</v>
      </c>
      <c r="Z31" s="34">
        <v>0</v>
      </c>
      <c r="AA31" s="34">
        <v>0</v>
      </c>
      <c r="AB31" s="34">
        <v>0</v>
      </c>
      <c r="AC31" s="34">
        <v>0</v>
      </c>
      <c r="AD31" s="34">
        <v>0</v>
      </c>
      <c r="AE31" s="34">
        <v>0</v>
      </c>
      <c r="AF31" s="34">
        <v>8392065</v>
      </c>
      <c r="AG31" s="34">
        <v>480510</v>
      </c>
      <c r="AH31" s="34">
        <v>227664.89</v>
      </c>
      <c r="AI31" s="34">
        <v>398413.56</v>
      </c>
      <c r="AJ31" s="34">
        <v>1593654.25</v>
      </c>
      <c r="AK31" s="34">
        <v>341497.34</v>
      </c>
      <c r="AL31" s="34">
        <v>117499.28</v>
      </c>
      <c r="AM31" s="34">
        <v>0</v>
      </c>
      <c r="AN31" s="34">
        <v>57558.06</v>
      </c>
      <c r="AO31" s="34">
        <v>0</v>
      </c>
      <c r="AP31" s="34">
        <v>293871.59999999998</v>
      </c>
      <c r="AQ31" s="34">
        <v>0</v>
      </c>
      <c r="AR31" s="34">
        <v>739910.9</v>
      </c>
      <c r="AS31" s="34">
        <v>0</v>
      </c>
      <c r="AT31" s="34">
        <v>0</v>
      </c>
      <c r="AU31" s="34">
        <v>250866</v>
      </c>
      <c r="AV31" s="34">
        <v>0</v>
      </c>
      <c r="AW31" s="34">
        <v>0</v>
      </c>
      <c r="AX31" s="34">
        <v>0</v>
      </c>
      <c r="AY31" s="34">
        <v>0</v>
      </c>
      <c r="AZ31" s="34">
        <v>0</v>
      </c>
      <c r="BA31" s="34">
        <v>0</v>
      </c>
      <c r="BB31" s="34">
        <v>0</v>
      </c>
      <c r="BC31" s="34">
        <v>0</v>
      </c>
      <c r="BD31" s="34">
        <v>0</v>
      </c>
      <c r="BE31" s="34">
        <v>35125</v>
      </c>
      <c r="BF31" s="34">
        <v>0</v>
      </c>
      <c r="BG31" s="34">
        <v>0</v>
      </c>
      <c r="BH31" s="34">
        <v>0</v>
      </c>
      <c r="BI31" s="34">
        <v>0</v>
      </c>
      <c r="BJ31" s="34">
        <v>0</v>
      </c>
      <c r="BK31" s="34">
        <v>119483.41</v>
      </c>
      <c r="BL31" s="34">
        <v>18887</v>
      </c>
      <c r="BM31" s="34">
        <v>0</v>
      </c>
      <c r="BN31" s="34">
        <v>0</v>
      </c>
      <c r="BO31" s="34">
        <v>0</v>
      </c>
      <c r="BP31" s="34">
        <v>0</v>
      </c>
      <c r="BQ31" s="34">
        <v>0</v>
      </c>
      <c r="BR31" s="34">
        <v>0</v>
      </c>
      <c r="BS31" s="34">
        <v>0</v>
      </c>
      <c r="BT31" s="34">
        <v>0</v>
      </c>
      <c r="BU31" s="34">
        <v>0</v>
      </c>
      <c r="BV31" s="34">
        <v>0</v>
      </c>
      <c r="BW31" s="34">
        <v>0</v>
      </c>
      <c r="BX31" s="34">
        <v>0</v>
      </c>
      <c r="BY31" s="34">
        <v>0</v>
      </c>
      <c r="BZ31" s="34">
        <v>0</v>
      </c>
      <c r="CA31" s="34">
        <v>394328.09</v>
      </c>
      <c r="CB31" s="34">
        <v>0</v>
      </c>
      <c r="CC31" s="34">
        <v>785852.78</v>
      </c>
      <c r="CD31" s="34">
        <v>864674.04</v>
      </c>
      <c r="CE31" s="34">
        <v>0</v>
      </c>
      <c r="CF31" s="34">
        <v>66035.789999999994</v>
      </c>
      <c r="CJ31" s="28">
        <f t="shared" si="3"/>
        <v>16581729.710000001</v>
      </c>
      <c r="CK31" s="28">
        <v>113832</v>
      </c>
      <c r="CL31" s="28">
        <f t="shared" si="15"/>
        <v>742589.33333333337</v>
      </c>
      <c r="CM31" s="34">
        <f t="shared" si="0"/>
        <v>92387</v>
      </c>
      <c r="CN31" s="34">
        <f t="shared" si="4"/>
        <v>15267.75800711744</v>
      </c>
      <c r="CU31" s="28">
        <f>VLOOKUP($A31,'Gen ed tchrs'!A27:R142,18,FALSE)*CU$123</f>
        <v>8423601.2999999989</v>
      </c>
      <c r="CV31" s="28">
        <f>'Gen ed tchrs'!Z27*CV$123/2</f>
        <v>141579.10968749999</v>
      </c>
      <c r="DB31" s="28">
        <f t="shared" si="5"/>
        <v>9529256.5010279492</v>
      </c>
      <c r="DC31" s="28">
        <f t="shared" si="6"/>
        <v>8392065</v>
      </c>
      <c r="DD31" s="28">
        <f t="shared" si="1"/>
        <v>1716562.61</v>
      </c>
      <c r="DE31" s="28">
        <f t="shared" si="7"/>
        <v>10108627.609999999</v>
      </c>
      <c r="DF31" s="6">
        <f t="shared" si="8"/>
        <v>579371.10897205025</v>
      </c>
      <c r="DM31" s="34"/>
      <c r="DN31" s="34"/>
    </row>
    <row r="32" spans="1:118" x14ac:dyDescent="0.2">
      <c r="A32">
        <v>349</v>
      </c>
      <c r="B32" t="s">
        <v>97</v>
      </c>
      <c r="C32" t="s">
        <v>7</v>
      </c>
      <c r="D32">
        <v>4</v>
      </c>
      <c r="E32">
        <v>435</v>
      </c>
      <c r="F32">
        <v>312</v>
      </c>
      <c r="G32">
        <v>325</v>
      </c>
      <c r="H32" s="50">
        <f t="shared" si="2"/>
        <v>-13</v>
      </c>
      <c r="I32" s="4">
        <v>0.44827586206896552</v>
      </c>
      <c r="J32">
        <v>195</v>
      </c>
      <c r="K32" s="34">
        <v>198942.26</v>
      </c>
      <c r="L32" s="34">
        <v>0</v>
      </c>
      <c r="M32" s="34">
        <v>0</v>
      </c>
      <c r="N32" s="34">
        <v>71961.03</v>
      </c>
      <c r="O32" s="34">
        <v>6675.95</v>
      </c>
      <c r="P32" s="34">
        <v>79024.509999999995</v>
      </c>
      <c r="Q32" s="34">
        <v>60058.83</v>
      </c>
      <c r="R32" s="34">
        <v>102374.53</v>
      </c>
      <c r="S32" s="34">
        <v>113832.45</v>
      </c>
      <c r="T32" s="34">
        <v>569162.23</v>
      </c>
      <c r="U32" s="34">
        <v>0</v>
      </c>
      <c r="V32" s="34">
        <v>455329.78</v>
      </c>
      <c r="W32" s="34">
        <v>352497.84</v>
      </c>
      <c r="X32" s="34">
        <v>220403.7</v>
      </c>
      <c r="Y32" s="34">
        <v>0</v>
      </c>
      <c r="Z32" s="34">
        <v>0</v>
      </c>
      <c r="AA32" s="34">
        <v>0</v>
      </c>
      <c r="AB32" s="34">
        <v>0</v>
      </c>
      <c r="AC32" s="34">
        <v>0</v>
      </c>
      <c r="AD32" s="34">
        <v>0</v>
      </c>
      <c r="AE32" s="34">
        <v>0</v>
      </c>
      <c r="AF32" s="34">
        <v>1863576</v>
      </c>
      <c r="AG32" s="34">
        <v>141375</v>
      </c>
      <c r="AH32" s="34">
        <v>113832.45</v>
      </c>
      <c r="AI32" s="34">
        <v>227664.89</v>
      </c>
      <c r="AJ32" s="34">
        <v>455329.78</v>
      </c>
      <c r="AK32" s="34">
        <v>341497.34</v>
      </c>
      <c r="AL32" s="34">
        <v>234998.56</v>
      </c>
      <c r="AM32" s="34">
        <v>0</v>
      </c>
      <c r="AN32" s="34">
        <v>0</v>
      </c>
      <c r="AO32" s="34">
        <v>0</v>
      </c>
      <c r="AP32" s="34">
        <v>107514</v>
      </c>
      <c r="AQ32" s="34">
        <v>0</v>
      </c>
      <c r="AR32" s="34">
        <v>1138324.46</v>
      </c>
      <c r="AS32" s="34">
        <v>0</v>
      </c>
      <c r="AT32" s="34">
        <v>0</v>
      </c>
      <c r="AU32" s="34">
        <v>394218</v>
      </c>
      <c r="AV32" s="34">
        <v>0</v>
      </c>
      <c r="AW32" s="34">
        <v>0</v>
      </c>
      <c r="AX32" s="34">
        <v>0</v>
      </c>
      <c r="AY32" s="34">
        <v>0</v>
      </c>
      <c r="AZ32" s="34">
        <v>0</v>
      </c>
      <c r="BA32" s="34">
        <v>0</v>
      </c>
      <c r="BB32" s="34">
        <v>0</v>
      </c>
      <c r="BC32" s="34">
        <v>155860.18</v>
      </c>
      <c r="BD32" s="34">
        <v>2510.52</v>
      </c>
      <c r="BE32" s="34">
        <v>0</v>
      </c>
      <c r="BF32" s="34">
        <v>0</v>
      </c>
      <c r="BG32" s="34">
        <v>0</v>
      </c>
      <c r="BH32" s="34">
        <v>0</v>
      </c>
      <c r="BI32" s="34">
        <v>0</v>
      </c>
      <c r="BJ32" s="34">
        <v>0</v>
      </c>
      <c r="BK32" s="34">
        <v>0</v>
      </c>
      <c r="BL32" s="34">
        <v>0</v>
      </c>
      <c r="BM32" s="34">
        <v>0</v>
      </c>
      <c r="BN32" s="34">
        <v>0</v>
      </c>
      <c r="BO32" s="34">
        <v>0</v>
      </c>
      <c r="BP32" s="34">
        <v>0</v>
      </c>
      <c r="BQ32" s="34">
        <v>0</v>
      </c>
      <c r="BR32" s="34">
        <v>0</v>
      </c>
      <c r="BS32" s="34">
        <v>0</v>
      </c>
      <c r="BT32" s="34">
        <v>0</v>
      </c>
      <c r="BU32" s="34">
        <v>15325</v>
      </c>
      <c r="BV32" s="34">
        <v>0</v>
      </c>
      <c r="BW32" s="34">
        <v>0</v>
      </c>
      <c r="BX32" s="34">
        <v>0</v>
      </c>
      <c r="BY32" s="34">
        <v>0</v>
      </c>
      <c r="BZ32" s="34">
        <v>0</v>
      </c>
      <c r="CA32" s="34">
        <v>523088.28</v>
      </c>
      <c r="CB32" s="34">
        <v>25086.6</v>
      </c>
      <c r="CC32" s="34">
        <v>423449.97</v>
      </c>
      <c r="CD32" s="34">
        <v>62617.38</v>
      </c>
      <c r="CE32" s="34">
        <v>0</v>
      </c>
      <c r="CF32" s="34">
        <v>75085.33</v>
      </c>
      <c r="CJ32" s="28">
        <f t="shared" si="3"/>
        <v>8531616.8499999996</v>
      </c>
      <c r="CK32" s="28">
        <v>113832</v>
      </c>
      <c r="CL32" s="28">
        <f>E32/400*CL$123</f>
        <v>172434</v>
      </c>
      <c r="CM32" s="34">
        <f t="shared" si="0"/>
        <v>92387</v>
      </c>
      <c r="CN32" s="34">
        <f t="shared" si="4"/>
        <v>49313.103448275862</v>
      </c>
      <c r="CQ32" s="28">
        <f>IF('Gen ed tchrs'!$V28&gt;37,2*113832,IF('Gen ed tchrs'!$V28&gt;25,1.5*113832,113832))</f>
        <v>170748</v>
      </c>
      <c r="CR32" s="28">
        <f>IF('Gen ed tchrs'!$V28&gt;37,2*113832,IF('Gen ed tchrs'!$V28&gt;25,1.5*113832,113832))</f>
        <v>170748</v>
      </c>
      <c r="CS32" s="28">
        <f>IF('Gen ed tchrs'!$V28&gt;39.1,3.5*113832,IF('Gen ed tchrs'!$V28&gt;33.1,3*113832,IF('Gen ed tchrs'!$V28&gt;26.1,2.5*113832,IF('Gen ed tchrs'!$V28&gt;20.1,2*113832,IF('Gen ed tchrs'!$V28&gt;13.1,1.5*113832,113832)))))</f>
        <v>227664</v>
      </c>
      <c r="CT32" s="34">
        <f>VLOOKUP($A32,'PosxSchpostCouncil 22'!$A$6:$DP$121,94,FALSE)*CT$123</f>
        <v>117499.29000000001</v>
      </c>
      <c r="CU32" s="28">
        <f>VLOOKUP($A32,'Gen ed tchrs'!A28:R143,18,FALSE)*CU$123</f>
        <v>1935151.65</v>
      </c>
      <c r="CV32" s="28">
        <f>'Gen ed tchrs'!Z28*CV$123/2</f>
        <v>67410.153984375007</v>
      </c>
      <c r="DB32" s="28">
        <f t="shared" si="5"/>
        <v>3117187.1974326507</v>
      </c>
      <c r="DC32" s="28">
        <f t="shared" si="6"/>
        <v>1863576</v>
      </c>
      <c r="DD32" s="28">
        <f t="shared" si="1"/>
        <v>561152.67999999993</v>
      </c>
      <c r="DE32" s="28">
        <f t="shared" si="7"/>
        <v>2424728.6799999997</v>
      </c>
      <c r="DF32" s="6">
        <f t="shared" si="8"/>
        <v>-692458.51743265102</v>
      </c>
      <c r="DM32" s="34"/>
      <c r="DN32" s="34"/>
    </row>
    <row r="33" spans="1:118" x14ac:dyDescent="0.2">
      <c r="A33">
        <v>231</v>
      </c>
      <c r="B33" t="s">
        <v>96</v>
      </c>
      <c r="C33" t="s">
        <v>7</v>
      </c>
      <c r="D33">
        <v>7</v>
      </c>
      <c r="E33">
        <v>192</v>
      </c>
      <c r="F33">
        <v>140</v>
      </c>
      <c r="G33">
        <v>174</v>
      </c>
      <c r="H33" s="50">
        <f t="shared" si="2"/>
        <v>-34</v>
      </c>
      <c r="I33" s="4">
        <v>0.78125</v>
      </c>
      <c r="J33">
        <v>150</v>
      </c>
      <c r="K33" s="34">
        <v>198942.26</v>
      </c>
      <c r="L33" s="34">
        <v>0</v>
      </c>
      <c r="M33" s="34">
        <v>0</v>
      </c>
      <c r="N33" s="34">
        <v>71961.03</v>
      </c>
      <c r="O33" s="34">
        <v>6456.75</v>
      </c>
      <c r="P33" s="34">
        <v>79024.509999999995</v>
      </c>
      <c r="Q33" s="34">
        <v>60058.83</v>
      </c>
      <c r="R33" s="34">
        <v>51187.26</v>
      </c>
      <c r="S33" s="34">
        <v>113832.45</v>
      </c>
      <c r="T33" s="34">
        <v>113832.45</v>
      </c>
      <c r="U33" s="34">
        <v>113832.45</v>
      </c>
      <c r="V33" s="34">
        <v>113832.45</v>
      </c>
      <c r="W33" s="34">
        <v>117499.28</v>
      </c>
      <c r="X33" s="34">
        <v>93178.8</v>
      </c>
      <c r="Y33" s="34">
        <v>0</v>
      </c>
      <c r="Z33" s="34">
        <v>0</v>
      </c>
      <c r="AA33" s="34">
        <v>0</v>
      </c>
      <c r="AB33" s="34">
        <v>0</v>
      </c>
      <c r="AC33" s="34">
        <v>0</v>
      </c>
      <c r="AD33" s="34">
        <v>0</v>
      </c>
      <c r="AE33" s="34">
        <v>0</v>
      </c>
      <c r="AF33" s="34">
        <v>836220</v>
      </c>
      <c r="AG33" s="34">
        <v>62400</v>
      </c>
      <c r="AH33" s="34">
        <v>113832.45</v>
      </c>
      <c r="AI33" s="34">
        <v>113832.45</v>
      </c>
      <c r="AJ33" s="34">
        <v>341497.34</v>
      </c>
      <c r="AK33" s="34">
        <v>341497.34</v>
      </c>
      <c r="AL33" s="34">
        <v>234998.56</v>
      </c>
      <c r="AM33" s="34">
        <v>0</v>
      </c>
      <c r="AN33" s="34">
        <v>0</v>
      </c>
      <c r="AO33" s="34">
        <v>0</v>
      </c>
      <c r="AP33" s="34">
        <v>51965.1</v>
      </c>
      <c r="AQ33" s="34">
        <v>0</v>
      </c>
      <c r="AR33" s="34">
        <v>0</v>
      </c>
      <c r="AS33" s="34">
        <v>26181.46</v>
      </c>
      <c r="AT33" s="34">
        <v>0</v>
      </c>
      <c r="AU33" s="34">
        <v>8959.5</v>
      </c>
      <c r="AV33" s="34">
        <v>13600</v>
      </c>
      <c r="AW33" s="34">
        <v>6800</v>
      </c>
      <c r="AX33" s="34">
        <v>10200</v>
      </c>
      <c r="AY33" s="34">
        <v>0</v>
      </c>
      <c r="AZ33" s="34">
        <v>13600</v>
      </c>
      <c r="BA33" s="34">
        <v>0</v>
      </c>
      <c r="BB33" s="34">
        <v>6800</v>
      </c>
      <c r="BC33" s="34">
        <v>103906.79</v>
      </c>
      <c r="BD33" s="34">
        <v>1673.68</v>
      </c>
      <c r="BE33" s="34">
        <v>0</v>
      </c>
      <c r="BF33" s="34">
        <v>0</v>
      </c>
      <c r="BG33" s="34">
        <v>0</v>
      </c>
      <c r="BH33" s="34">
        <v>0</v>
      </c>
      <c r="BI33" s="34">
        <v>0</v>
      </c>
      <c r="BJ33" s="34">
        <v>0</v>
      </c>
      <c r="BK33" s="34">
        <v>0</v>
      </c>
      <c r="BL33" s="34">
        <v>0</v>
      </c>
      <c r="BM33" s="34">
        <v>0</v>
      </c>
      <c r="BN33" s="34">
        <v>0</v>
      </c>
      <c r="BO33" s="34">
        <v>0</v>
      </c>
      <c r="BP33" s="34">
        <v>0</v>
      </c>
      <c r="BQ33" s="34">
        <v>0</v>
      </c>
      <c r="BR33" s="34">
        <v>0</v>
      </c>
      <c r="BS33" s="34">
        <v>0</v>
      </c>
      <c r="BT33" s="34">
        <v>0</v>
      </c>
      <c r="BU33" s="34">
        <v>15325</v>
      </c>
      <c r="BV33" s="34">
        <v>0</v>
      </c>
      <c r="BW33" s="34">
        <v>0</v>
      </c>
      <c r="BX33" s="34">
        <v>0</v>
      </c>
      <c r="BY33" s="34">
        <v>0</v>
      </c>
      <c r="BZ33" s="34">
        <v>0</v>
      </c>
      <c r="CA33" s="34">
        <v>402375.6</v>
      </c>
      <c r="CB33" s="34">
        <v>87444.72</v>
      </c>
      <c r="CC33" s="34">
        <v>5799.04</v>
      </c>
      <c r="CD33" s="34">
        <v>47129.71</v>
      </c>
      <c r="CE33" s="34">
        <v>228017.71</v>
      </c>
      <c r="CF33" s="34">
        <v>0</v>
      </c>
      <c r="CJ33" s="28">
        <f t="shared" si="3"/>
        <v>4207694.9700000007</v>
      </c>
      <c r="CK33" s="28">
        <v>113832</v>
      </c>
      <c r="CM33" s="34">
        <f t="shared" si="0"/>
        <v>46193.5</v>
      </c>
      <c r="CN33" s="34">
        <f t="shared" si="4"/>
        <v>0</v>
      </c>
      <c r="CQ33" s="28">
        <f>IF('Gen ed tchrs'!$V29&gt;37,2*113832,IF('Gen ed tchrs'!$V29&gt;25,1.5*113832,113832))</f>
        <v>113832</v>
      </c>
      <c r="CR33" s="28">
        <f>IF('Gen ed tchrs'!$V29&gt;37,2*113832,IF('Gen ed tchrs'!$V29&gt;25,1.5*113832,113832))</f>
        <v>113832</v>
      </c>
      <c r="CS33" s="28">
        <f>IF('Gen ed tchrs'!$V29&gt;39.1,3.5*113832,IF('Gen ed tchrs'!$V29&gt;33.1,3*113832,IF('Gen ed tchrs'!$V29&gt;26.1,2.5*113832,IF('Gen ed tchrs'!$V29&gt;20.1,2*113832,IF('Gen ed tchrs'!$V29&gt;13.1,1.5*113832,113832)))))</f>
        <v>113832</v>
      </c>
      <c r="CT33" s="34">
        <f>VLOOKUP($A33,'PosxSchpostCouncil 22'!$A$6:$DP$121,94,FALSE)*CT$123</f>
        <v>78332.86</v>
      </c>
      <c r="CU33" s="28">
        <f>VLOOKUP($A33,'Gen ed tchrs'!A29:R144,18,FALSE)*CU$123</f>
        <v>1024492.0499999999</v>
      </c>
      <c r="CV33" s="28">
        <f>'Gen ed tchrs'!Z29*CV$123/2</f>
        <v>56916.224999999999</v>
      </c>
      <c r="DB33" s="28">
        <f t="shared" si="5"/>
        <v>1661262.635</v>
      </c>
      <c r="DC33" s="28">
        <f t="shared" si="6"/>
        <v>836220</v>
      </c>
      <c r="DD33" s="28">
        <f t="shared" si="1"/>
        <v>280946.45999999996</v>
      </c>
      <c r="DE33" s="28">
        <f t="shared" si="7"/>
        <v>1117166.46</v>
      </c>
      <c r="DF33" s="6">
        <f t="shared" si="8"/>
        <v>-544096.17500000005</v>
      </c>
      <c r="DM33" s="34"/>
      <c r="DN33" s="34"/>
    </row>
    <row r="34" spans="1:118" x14ac:dyDescent="0.2">
      <c r="A34">
        <v>467</v>
      </c>
      <c r="B34" t="s">
        <v>95</v>
      </c>
      <c r="C34" t="s">
        <v>1</v>
      </c>
      <c r="D34">
        <v>5</v>
      </c>
      <c r="E34">
        <v>829</v>
      </c>
      <c r="F34">
        <v>829</v>
      </c>
      <c r="G34">
        <v>662</v>
      </c>
      <c r="H34" s="50">
        <f t="shared" si="2"/>
        <v>167</v>
      </c>
      <c r="I34" s="4">
        <v>0.7056694813027744</v>
      </c>
      <c r="J34">
        <v>585</v>
      </c>
      <c r="K34" s="34">
        <v>198942.26</v>
      </c>
      <c r="L34" s="34">
        <v>0</v>
      </c>
      <c r="M34" s="34">
        <v>449487.26</v>
      </c>
      <c r="N34" s="34">
        <v>71961.03</v>
      </c>
      <c r="O34" s="34">
        <v>25415.23</v>
      </c>
      <c r="P34" s="34">
        <v>79024.509999999995</v>
      </c>
      <c r="Q34" s="34">
        <v>60058.83</v>
      </c>
      <c r="R34" s="34">
        <v>409498.11</v>
      </c>
      <c r="S34" s="34">
        <v>113832.45</v>
      </c>
      <c r="T34" s="34">
        <v>0</v>
      </c>
      <c r="U34" s="34">
        <v>0</v>
      </c>
      <c r="V34" s="34">
        <v>0</v>
      </c>
      <c r="W34" s="34">
        <v>0</v>
      </c>
      <c r="X34" s="34">
        <v>0</v>
      </c>
      <c r="Y34" s="34">
        <v>0</v>
      </c>
      <c r="Z34" s="34">
        <v>0</v>
      </c>
      <c r="AA34" s="34">
        <v>0</v>
      </c>
      <c r="AB34" s="34">
        <v>341497.34</v>
      </c>
      <c r="AC34" s="34">
        <v>0</v>
      </c>
      <c r="AD34" s="34">
        <v>0</v>
      </c>
      <c r="AE34" s="34">
        <v>227664.89</v>
      </c>
      <c r="AF34" s="34">
        <v>4951617</v>
      </c>
      <c r="AG34" s="34">
        <v>491597</v>
      </c>
      <c r="AH34" s="34">
        <v>227664.89</v>
      </c>
      <c r="AI34" s="34">
        <v>455329.78</v>
      </c>
      <c r="AJ34" s="34">
        <v>1252156.9099999999</v>
      </c>
      <c r="AK34" s="34">
        <v>682994.68</v>
      </c>
      <c r="AL34" s="34">
        <v>313331.40999999997</v>
      </c>
      <c r="AM34" s="34">
        <v>0</v>
      </c>
      <c r="AN34" s="34">
        <v>57558.06</v>
      </c>
      <c r="AO34" s="34">
        <v>0</v>
      </c>
      <c r="AP34" s="34">
        <v>315374.40000000002</v>
      </c>
      <c r="AQ34" s="34">
        <v>0</v>
      </c>
      <c r="AR34" s="34">
        <v>227664.89</v>
      </c>
      <c r="AS34" s="34">
        <v>0</v>
      </c>
      <c r="AT34" s="34">
        <v>0</v>
      </c>
      <c r="AU34" s="34">
        <v>60924.6</v>
      </c>
      <c r="AV34" s="34">
        <v>0</v>
      </c>
      <c r="AW34" s="34">
        <v>0</v>
      </c>
      <c r="AX34" s="34">
        <v>0</v>
      </c>
      <c r="AY34" s="34">
        <v>75000</v>
      </c>
      <c r="AZ34" s="34">
        <v>0</v>
      </c>
      <c r="BA34" s="34">
        <v>0</v>
      </c>
      <c r="BB34" s="34">
        <v>0</v>
      </c>
      <c r="BC34" s="34">
        <v>369734.98</v>
      </c>
      <c r="BD34" s="34">
        <v>5955.52</v>
      </c>
      <c r="BE34" s="34">
        <v>0</v>
      </c>
      <c r="BF34" s="34">
        <v>0</v>
      </c>
      <c r="BG34" s="34">
        <v>158559.82</v>
      </c>
      <c r="BH34" s="34">
        <v>12216.09</v>
      </c>
      <c r="BI34" s="34">
        <v>23000</v>
      </c>
      <c r="BJ34" s="34">
        <v>39600</v>
      </c>
      <c r="BK34" s="34">
        <v>0</v>
      </c>
      <c r="BL34" s="34">
        <v>0</v>
      </c>
      <c r="BM34" s="34">
        <v>0</v>
      </c>
      <c r="BN34" s="34">
        <v>0</v>
      </c>
      <c r="BO34" s="34">
        <v>0</v>
      </c>
      <c r="BP34" s="34">
        <v>0</v>
      </c>
      <c r="BQ34" s="34">
        <v>113832.45</v>
      </c>
      <c r="BR34" s="34">
        <v>0</v>
      </c>
      <c r="BS34" s="34">
        <v>140941</v>
      </c>
      <c r="BT34" s="34">
        <v>5000</v>
      </c>
      <c r="BU34" s="34">
        <v>0</v>
      </c>
      <c r="BV34" s="34">
        <v>0</v>
      </c>
      <c r="BW34" s="34">
        <v>244049</v>
      </c>
      <c r="BX34" s="34">
        <v>147878.60999999999</v>
      </c>
      <c r="BY34" s="34">
        <v>0</v>
      </c>
      <c r="BZ34" s="34">
        <v>0</v>
      </c>
      <c r="CA34" s="34">
        <v>1711437.55</v>
      </c>
      <c r="CB34" s="34">
        <v>308326.26</v>
      </c>
      <c r="CC34" s="34">
        <v>0</v>
      </c>
      <c r="CD34" s="34">
        <v>0</v>
      </c>
      <c r="CE34" s="34">
        <v>0</v>
      </c>
      <c r="CF34" s="34">
        <v>0</v>
      </c>
      <c r="CJ34" s="28">
        <f t="shared" si="3"/>
        <v>14369126.810000001</v>
      </c>
      <c r="CK34" s="28">
        <v>113832</v>
      </c>
      <c r="CL34" s="28">
        <f t="shared" ref="CL34:CL35" si="17">E34/300*CL$123</f>
        <v>438154.1333333333</v>
      </c>
      <c r="CM34" s="34">
        <f t="shared" si="0"/>
        <v>92387</v>
      </c>
      <c r="CN34" s="34">
        <f t="shared" si="4"/>
        <v>25875.995174909531</v>
      </c>
      <c r="CO34" s="28">
        <f t="shared" ref="CO34:CP35" si="18">CO$123</f>
        <v>58500</v>
      </c>
      <c r="CP34" s="28">
        <f t="shared" si="18"/>
        <v>70673</v>
      </c>
      <c r="CU34" s="28">
        <f>VLOOKUP($A34,'Gen ed tchrs'!A30:R145,18,FALSE)*CU$123</f>
        <v>5350125.1499999994</v>
      </c>
      <c r="CV34" s="28">
        <f>'Gen ed tchrs'!Z30*CV$123/2</f>
        <v>52789.798687500013</v>
      </c>
      <c r="CW34" s="34">
        <v>119483</v>
      </c>
      <c r="DB34" s="28">
        <f t="shared" si="5"/>
        <v>6321820.0771957422</v>
      </c>
      <c r="DC34" s="28">
        <f t="shared" si="6"/>
        <v>4951617</v>
      </c>
      <c r="DD34" s="28">
        <f t="shared" si="1"/>
        <v>0</v>
      </c>
      <c r="DE34" s="28">
        <f t="shared" si="7"/>
        <v>4951617</v>
      </c>
      <c r="DF34" s="6">
        <f t="shared" si="8"/>
        <v>-1370203.0771957422</v>
      </c>
      <c r="DM34" s="34"/>
      <c r="DN34" s="34"/>
    </row>
    <row r="35" spans="1:118" x14ac:dyDescent="0.2">
      <c r="A35">
        <v>457</v>
      </c>
      <c r="B35" t="s">
        <v>94</v>
      </c>
      <c r="C35" t="s">
        <v>1</v>
      </c>
      <c r="D35">
        <v>6</v>
      </c>
      <c r="E35">
        <v>768</v>
      </c>
      <c r="F35">
        <v>768</v>
      </c>
      <c r="G35">
        <v>770</v>
      </c>
      <c r="H35" s="50">
        <f t="shared" si="2"/>
        <v>-2</v>
      </c>
      <c r="I35" s="4">
        <v>0.73697916666666663</v>
      </c>
      <c r="J35">
        <v>566</v>
      </c>
      <c r="K35" s="34">
        <v>198942.26</v>
      </c>
      <c r="L35" s="34">
        <v>0</v>
      </c>
      <c r="M35" s="34">
        <v>449487.26</v>
      </c>
      <c r="N35" s="34">
        <v>71961.03</v>
      </c>
      <c r="O35" s="34">
        <v>26995.83</v>
      </c>
      <c r="P35" s="34">
        <v>79024.509999999995</v>
      </c>
      <c r="Q35" s="34">
        <v>60058.83</v>
      </c>
      <c r="R35" s="34">
        <v>460685.38</v>
      </c>
      <c r="S35" s="34">
        <v>113832.45</v>
      </c>
      <c r="T35" s="34">
        <v>0</v>
      </c>
      <c r="U35" s="34">
        <v>0</v>
      </c>
      <c r="V35" s="34">
        <v>0</v>
      </c>
      <c r="W35" s="34">
        <v>0</v>
      </c>
      <c r="X35" s="34">
        <v>0</v>
      </c>
      <c r="Y35" s="34">
        <v>0</v>
      </c>
      <c r="Z35" s="34">
        <v>0</v>
      </c>
      <c r="AA35" s="34">
        <v>0</v>
      </c>
      <c r="AB35" s="34">
        <v>113832.45</v>
      </c>
      <c r="AC35" s="34">
        <v>85909.9</v>
      </c>
      <c r="AD35" s="34">
        <v>0</v>
      </c>
      <c r="AE35" s="34">
        <v>227664.89</v>
      </c>
      <c r="AF35" s="34">
        <v>4587264</v>
      </c>
      <c r="AG35" s="34">
        <v>455424</v>
      </c>
      <c r="AH35" s="34">
        <v>227664.89</v>
      </c>
      <c r="AI35" s="34">
        <v>569162.23</v>
      </c>
      <c r="AJ35" s="34">
        <v>1479821.8</v>
      </c>
      <c r="AK35" s="34">
        <v>1138324.46</v>
      </c>
      <c r="AL35" s="34">
        <v>509163.55</v>
      </c>
      <c r="AM35" s="34">
        <v>0</v>
      </c>
      <c r="AN35" s="34">
        <v>115116.11</v>
      </c>
      <c r="AO35" s="34">
        <v>0</v>
      </c>
      <c r="AP35" s="34">
        <v>424680.3</v>
      </c>
      <c r="AQ35" s="34">
        <v>0</v>
      </c>
      <c r="AR35" s="34">
        <v>227664.89</v>
      </c>
      <c r="AS35" s="34">
        <v>0</v>
      </c>
      <c r="AT35" s="34">
        <v>0</v>
      </c>
      <c r="AU35" s="34">
        <v>60924.6</v>
      </c>
      <c r="AV35" s="34">
        <v>0</v>
      </c>
      <c r="AW35" s="34">
        <v>0</v>
      </c>
      <c r="AX35" s="34">
        <v>0</v>
      </c>
      <c r="AY35" s="34">
        <v>65000</v>
      </c>
      <c r="AZ35" s="34">
        <v>0</v>
      </c>
      <c r="BA35" s="34">
        <v>0</v>
      </c>
      <c r="BB35" s="34">
        <v>0</v>
      </c>
      <c r="BC35" s="34">
        <v>395711.68</v>
      </c>
      <c r="BD35" s="34">
        <v>6373.94</v>
      </c>
      <c r="BE35" s="34">
        <v>0</v>
      </c>
      <c r="BF35" s="34">
        <v>0</v>
      </c>
      <c r="BG35" s="34">
        <v>158559.82</v>
      </c>
      <c r="BH35" s="34">
        <v>25716.09</v>
      </c>
      <c r="BI35" s="34">
        <v>19500</v>
      </c>
      <c r="BJ35" s="34">
        <v>17200</v>
      </c>
      <c r="BK35" s="34">
        <v>119483.41</v>
      </c>
      <c r="BL35" s="34">
        <v>31287</v>
      </c>
      <c r="BM35" s="34">
        <v>0</v>
      </c>
      <c r="BN35" s="34">
        <v>0</v>
      </c>
      <c r="BO35" s="34">
        <v>0</v>
      </c>
      <c r="BP35" s="34">
        <v>0</v>
      </c>
      <c r="BQ35" s="34">
        <v>0</v>
      </c>
      <c r="BR35" s="34">
        <v>0</v>
      </c>
      <c r="BS35" s="34">
        <v>0</v>
      </c>
      <c r="BT35" s="34">
        <v>0</v>
      </c>
      <c r="BU35" s="34">
        <v>0</v>
      </c>
      <c r="BV35" s="34">
        <v>0</v>
      </c>
      <c r="BW35" s="34">
        <v>76280</v>
      </c>
      <c r="BX35" s="34">
        <v>147878.60999999999</v>
      </c>
      <c r="BY35" s="34">
        <v>0</v>
      </c>
      <c r="BZ35" s="34">
        <v>0</v>
      </c>
      <c r="CA35" s="34">
        <v>1720155.69</v>
      </c>
      <c r="CB35" s="34">
        <v>343089.12</v>
      </c>
      <c r="CC35" s="34">
        <v>0</v>
      </c>
      <c r="CD35" s="34">
        <v>0</v>
      </c>
      <c r="CE35" s="34">
        <v>0</v>
      </c>
      <c r="CF35" s="34">
        <v>0</v>
      </c>
      <c r="CJ35" s="28">
        <f t="shared" si="3"/>
        <v>14809840.98</v>
      </c>
      <c r="CK35" s="28">
        <v>113832</v>
      </c>
      <c r="CL35" s="28">
        <f t="shared" si="17"/>
        <v>405913.60000000003</v>
      </c>
      <c r="CM35" s="34">
        <f t="shared" si="0"/>
        <v>92387</v>
      </c>
      <c r="CN35" s="34">
        <f t="shared" si="4"/>
        <v>27931.250000000004</v>
      </c>
      <c r="CO35" s="28">
        <f t="shared" si="18"/>
        <v>58500</v>
      </c>
      <c r="CP35" s="28">
        <f t="shared" si="18"/>
        <v>70673</v>
      </c>
      <c r="CU35" s="28">
        <f>VLOOKUP($A35,'Gen ed tchrs'!A31:R146,18,FALSE)*CU$123</f>
        <v>4894795.3499999996</v>
      </c>
      <c r="CV35" s="28">
        <f>'Gen ed tchrs'!Z31*CV$123/2</f>
        <v>61469.523000000001</v>
      </c>
      <c r="CW35" s="34">
        <v>119483</v>
      </c>
      <c r="DB35" s="28">
        <f t="shared" si="5"/>
        <v>5844984.7229999993</v>
      </c>
      <c r="DC35" s="28">
        <f t="shared" si="6"/>
        <v>4587264</v>
      </c>
      <c r="DD35" s="28">
        <f t="shared" si="1"/>
        <v>0</v>
      </c>
      <c r="DE35" s="28">
        <f t="shared" si="7"/>
        <v>4587264</v>
      </c>
      <c r="DF35" s="6">
        <f t="shared" si="8"/>
        <v>-1257720.7229999993</v>
      </c>
      <c r="DM35" s="34"/>
      <c r="DN35" s="34"/>
    </row>
    <row r="36" spans="1:118" x14ac:dyDescent="0.2">
      <c r="A36">
        <v>232</v>
      </c>
      <c r="B36" t="s">
        <v>93</v>
      </c>
      <c r="C36" t="s">
        <v>7</v>
      </c>
      <c r="D36">
        <v>3</v>
      </c>
      <c r="E36">
        <v>419</v>
      </c>
      <c r="F36">
        <v>380</v>
      </c>
      <c r="G36">
        <v>406</v>
      </c>
      <c r="H36" s="50">
        <f t="shared" si="2"/>
        <v>-26</v>
      </c>
      <c r="I36" s="4">
        <v>7.6372315035799526E-2</v>
      </c>
      <c r="J36">
        <v>32</v>
      </c>
      <c r="K36" s="34">
        <v>198942.26</v>
      </c>
      <c r="L36" s="34">
        <v>0</v>
      </c>
      <c r="M36" s="34">
        <v>0</v>
      </c>
      <c r="N36" s="34">
        <v>71961.03</v>
      </c>
      <c r="O36" s="34">
        <v>6988.6</v>
      </c>
      <c r="P36" s="34">
        <v>79024.509999999995</v>
      </c>
      <c r="Q36" s="34">
        <v>60058.83</v>
      </c>
      <c r="R36" s="34">
        <v>102374.53</v>
      </c>
      <c r="S36" s="34">
        <v>113832.45</v>
      </c>
      <c r="T36" s="34">
        <v>0</v>
      </c>
      <c r="U36" s="34">
        <v>0</v>
      </c>
      <c r="V36" s="34">
        <v>227664.89</v>
      </c>
      <c r="W36" s="34">
        <v>78332.850000000006</v>
      </c>
      <c r="X36" s="34">
        <v>69884.100000000006</v>
      </c>
      <c r="Y36" s="34">
        <v>0</v>
      </c>
      <c r="Z36" s="34">
        <v>0</v>
      </c>
      <c r="AA36" s="34">
        <v>0</v>
      </c>
      <c r="AB36" s="34">
        <v>0</v>
      </c>
      <c r="AC36" s="34">
        <v>0</v>
      </c>
      <c r="AD36" s="34">
        <v>0</v>
      </c>
      <c r="AE36" s="34">
        <v>0</v>
      </c>
      <c r="AF36" s="34">
        <v>2269740</v>
      </c>
      <c r="AG36" s="34">
        <v>136175</v>
      </c>
      <c r="AH36" s="34">
        <v>113832.45</v>
      </c>
      <c r="AI36" s="34">
        <v>113832.45</v>
      </c>
      <c r="AJ36" s="34">
        <v>341497.34</v>
      </c>
      <c r="AK36" s="34">
        <v>113832.45</v>
      </c>
      <c r="AL36" s="34">
        <v>39166.43</v>
      </c>
      <c r="AM36" s="34">
        <v>0</v>
      </c>
      <c r="AN36" s="34">
        <v>57558.06</v>
      </c>
      <c r="AO36" s="34">
        <v>0</v>
      </c>
      <c r="AP36" s="34">
        <v>82427.399999999994</v>
      </c>
      <c r="AQ36" s="34">
        <v>0</v>
      </c>
      <c r="AR36" s="34">
        <v>341497.34</v>
      </c>
      <c r="AS36" s="34">
        <v>0</v>
      </c>
      <c r="AT36" s="34">
        <v>0</v>
      </c>
      <c r="AU36" s="34">
        <v>100346.4</v>
      </c>
      <c r="AV36" s="34">
        <v>0</v>
      </c>
      <c r="AW36" s="34">
        <v>0</v>
      </c>
      <c r="AX36" s="34">
        <v>0</v>
      </c>
      <c r="AY36" s="34">
        <v>0</v>
      </c>
      <c r="AZ36" s="34">
        <v>0</v>
      </c>
      <c r="BA36" s="34">
        <v>0</v>
      </c>
      <c r="BB36" s="34">
        <v>0</v>
      </c>
      <c r="BC36" s="34">
        <v>0</v>
      </c>
      <c r="BD36" s="34">
        <v>0</v>
      </c>
      <c r="BE36" s="34">
        <v>10475</v>
      </c>
      <c r="BF36" s="34">
        <v>0</v>
      </c>
      <c r="BG36" s="34">
        <v>0</v>
      </c>
      <c r="BH36" s="34">
        <v>0</v>
      </c>
      <c r="BI36" s="34">
        <v>0</v>
      </c>
      <c r="BJ36" s="34">
        <v>0</v>
      </c>
      <c r="BK36" s="34">
        <v>0</v>
      </c>
      <c r="BL36" s="34">
        <v>0</v>
      </c>
      <c r="BM36" s="34">
        <v>0</v>
      </c>
      <c r="BN36" s="34">
        <v>0</v>
      </c>
      <c r="BO36" s="34">
        <v>0</v>
      </c>
      <c r="BP36" s="34">
        <v>0</v>
      </c>
      <c r="BQ36" s="34">
        <v>0</v>
      </c>
      <c r="BR36" s="34">
        <v>0</v>
      </c>
      <c r="BS36" s="34">
        <v>0</v>
      </c>
      <c r="BT36" s="34">
        <v>0</v>
      </c>
      <c r="BU36" s="34">
        <v>0</v>
      </c>
      <c r="BV36" s="34">
        <v>0</v>
      </c>
      <c r="BW36" s="34">
        <v>0</v>
      </c>
      <c r="BX36" s="34">
        <v>0</v>
      </c>
      <c r="BY36" s="34">
        <v>0</v>
      </c>
      <c r="BZ36" s="34">
        <v>0</v>
      </c>
      <c r="CA36" s="34">
        <v>85840.13</v>
      </c>
      <c r="CB36" s="34">
        <v>0</v>
      </c>
      <c r="CC36" s="34">
        <v>140248.91</v>
      </c>
      <c r="CD36" s="34">
        <v>229961.2</v>
      </c>
      <c r="CE36" s="34">
        <v>364853.33</v>
      </c>
      <c r="CF36" s="34">
        <v>0</v>
      </c>
      <c r="CJ36" s="28">
        <f t="shared" si="3"/>
        <v>5550347.9400000013</v>
      </c>
      <c r="CK36" s="28">
        <v>113832</v>
      </c>
      <c r="CL36" s="28">
        <f>E36/400*CL$123</f>
        <v>166091.6</v>
      </c>
      <c r="CM36" s="34">
        <f t="shared" si="0"/>
        <v>92387</v>
      </c>
      <c r="CN36" s="34">
        <f t="shared" si="4"/>
        <v>51196.181384248208</v>
      </c>
      <c r="CQ36" s="28">
        <f>IF('Gen ed tchrs'!$V32&gt;37,2*113832,IF('Gen ed tchrs'!$V32&gt;25,1.5*113832,113832))</f>
        <v>113832</v>
      </c>
      <c r="CR36" s="28">
        <f>IF('Gen ed tchrs'!$V32&gt;37,2*113832,IF('Gen ed tchrs'!$V32&gt;25,1.5*113832,113832))</f>
        <v>113832</v>
      </c>
      <c r="CS36" s="28">
        <f>IF('Gen ed tchrs'!$V32&gt;39.1,3.5*113832,IF('Gen ed tchrs'!$V32&gt;33.1,3*113832,IF('Gen ed tchrs'!$V32&gt;26.1,2.5*113832,IF('Gen ed tchrs'!$V32&gt;20.1,2*113832,IF('Gen ed tchrs'!$V32&gt;13.1,1.5*113832,113832)))))</f>
        <v>227664</v>
      </c>
      <c r="CT36" s="34">
        <f>VLOOKUP($A36,'PosxSchpostCouncil 22'!$A$6:$DP$121,94,FALSE)*CT$123</f>
        <v>117499.29000000001</v>
      </c>
      <c r="CU36" s="28">
        <f>VLOOKUP($A36,'Gen ed tchrs'!A32:R147,18,FALSE)*CU$123</f>
        <v>2162816.5499999998</v>
      </c>
      <c r="CV36" s="28">
        <f>'Gen ed tchrs'!Z32*CV$123/2</f>
        <v>69117.640734375003</v>
      </c>
      <c r="DB36" s="28">
        <f t="shared" si="5"/>
        <v>3228268.2621186231</v>
      </c>
      <c r="DC36" s="28">
        <f t="shared" si="6"/>
        <v>2269740</v>
      </c>
      <c r="DD36" s="28">
        <f t="shared" si="1"/>
        <v>735063.44</v>
      </c>
      <c r="DE36" s="28">
        <f t="shared" si="7"/>
        <v>3004803.44</v>
      </c>
      <c r="DF36" s="6">
        <f t="shared" si="8"/>
        <v>-223464.82211862318</v>
      </c>
      <c r="DM36" s="34"/>
      <c r="DN36" s="34"/>
    </row>
    <row r="37" spans="1:118" x14ac:dyDescent="0.2">
      <c r="A37">
        <v>407</v>
      </c>
      <c r="B37" t="s">
        <v>92</v>
      </c>
      <c r="C37" t="s">
        <v>19</v>
      </c>
      <c r="D37">
        <v>6</v>
      </c>
      <c r="E37">
        <v>321</v>
      </c>
      <c r="F37">
        <v>321</v>
      </c>
      <c r="G37">
        <v>278</v>
      </c>
      <c r="H37" s="50">
        <f t="shared" si="2"/>
        <v>43</v>
      </c>
      <c r="I37" s="4">
        <v>0.58255451713395634</v>
      </c>
      <c r="J37">
        <v>187</v>
      </c>
      <c r="K37" s="34">
        <v>198942.26</v>
      </c>
      <c r="L37" s="34">
        <v>113832.45</v>
      </c>
      <c r="M37" s="34">
        <v>0</v>
      </c>
      <c r="N37" s="34">
        <v>71961.03</v>
      </c>
      <c r="O37" s="34">
        <v>13205.35</v>
      </c>
      <c r="P37" s="34">
        <v>79024.509999999995</v>
      </c>
      <c r="Q37" s="34">
        <v>60058.83</v>
      </c>
      <c r="R37" s="34">
        <v>255936.32</v>
      </c>
      <c r="S37" s="34">
        <v>113832.45</v>
      </c>
      <c r="T37" s="34">
        <v>0</v>
      </c>
      <c r="U37" s="34">
        <v>0</v>
      </c>
      <c r="V37" s="34">
        <v>0</v>
      </c>
      <c r="W37" s="34">
        <v>0</v>
      </c>
      <c r="X37" s="34">
        <v>0</v>
      </c>
      <c r="Y37" s="34">
        <v>0</v>
      </c>
      <c r="Z37" s="34">
        <v>0</v>
      </c>
      <c r="AA37" s="34">
        <v>0</v>
      </c>
      <c r="AB37" s="34">
        <v>0</v>
      </c>
      <c r="AC37" s="34">
        <v>0</v>
      </c>
      <c r="AD37" s="34">
        <v>0</v>
      </c>
      <c r="AE37" s="34">
        <v>0</v>
      </c>
      <c r="AF37" s="34">
        <v>1917333</v>
      </c>
      <c r="AG37" s="34">
        <v>109782</v>
      </c>
      <c r="AH37" s="34">
        <v>113832.45</v>
      </c>
      <c r="AI37" s="34">
        <v>341497.34</v>
      </c>
      <c r="AJ37" s="34">
        <v>569162.23</v>
      </c>
      <c r="AK37" s="34">
        <v>455329.78</v>
      </c>
      <c r="AL37" s="34">
        <v>234998.56</v>
      </c>
      <c r="AM37" s="34">
        <v>0</v>
      </c>
      <c r="AN37" s="34">
        <v>0</v>
      </c>
      <c r="AO37" s="34">
        <v>0</v>
      </c>
      <c r="AP37" s="34">
        <v>129016.8</v>
      </c>
      <c r="AQ37" s="34">
        <v>0</v>
      </c>
      <c r="AR37" s="34">
        <v>0</v>
      </c>
      <c r="AS37" s="34">
        <v>15936.54</v>
      </c>
      <c r="AT37" s="34">
        <v>0</v>
      </c>
      <c r="AU37" s="34">
        <v>5375.7</v>
      </c>
      <c r="AV37" s="34">
        <v>0</v>
      </c>
      <c r="AW37" s="34">
        <v>0</v>
      </c>
      <c r="AX37" s="34">
        <v>0</v>
      </c>
      <c r="AY37" s="34">
        <v>0</v>
      </c>
      <c r="AZ37" s="34">
        <v>0</v>
      </c>
      <c r="BA37" s="34">
        <v>0</v>
      </c>
      <c r="BB37" s="34">
        <v>0</v>
      </c>
      <c r="BC37" s="34">
        <v>148933.06</v>
      </c>
      <c r="BD37" s="34">
        <v>2398.94</v>
      </c>
      <c r="BE37" s="34">
        <v>0</v>
      </c>
      <c r="BF37" s="34">
        <v>0</v>
      </c>
      <c r="BG37" s="34">
        <v>0</v>
      </c>
      <c r="BH37" s="34">
        <v>0</v>
      </c>
      <c r="BI37" s="34">
        <v>0</v>
      </c>
      <c r="BJ37" s="34">
        <v>0</v>
      </c>
      <c r="BK37" s="34">
        <v>119483.41</v>
      </c>
      <c r="BL37" s="34">
        <v>19687</v>
      </c>
      <c r="BM37" s="34">
        <v>0</v>
      </c>
      <c r="BN37" s="34">
        <v>0</v>
      </c>
      <c r="BO37" s="34">
        <v>0</v>
      </c>
      <c r="BP37" s="34">
        <v>0</v>
      </c>
      <c r="BQ37" s="34">
        <v>0</v>
      </c>
      <c r="BR37" s="34">
        <v>0</v>
      </c>
      <c r="BS37" s="34">
        <v>0</v>
      </c>
      <c r="BT37" s="34">
        <v>0</v>
      </c>
      <c r="BU37" s="34">
        <v>0</v>
      </c>
      <c r="BV37" s="34">
        <v>0</v>
      </c>
      <c r="BW37" s="34">
        <v>111842</v>
      </c>
      <c r="BX37" s="34">
        <v>0</v>
      </c>
      <c r="BY37" s="34">
        <v>0</v>
      </c>
      <c r="BZ37" s="34">
        <v>0</v>
      </c>
      <c r="CA37" s="34">
        <v>501628.25</v>
      </c>
      <c r="CB37" s="34">
        <v>70003.56</v>
      </c>
      <c r="CC37" s="34">
        <v>0</v>
      </c>
      <c r="CD37" s="34">
        <v>0</v>
      </c>
      <c r="CE37" s="34">
        <v>0</v>
      </c>
      <c r="CF37" s="34">
        <v>0</v>
      </c>
      <c r="CJ37" s="28">
        <f t="shared" si="3"/>
        <v>5773033.8199999994</v>
      </c>
      <c r="CK37" s="28">
        <v>113832</v>
      </c>
      <c r="CL37" s="28">
        <f t="shared" ref="CL37:CL38" si="19">E37/300*CL$123</f>
        <v>169659.2</v>
      </c>
      <c r="CM37" s="34">
        <f t="shared" si="0"/>
        <v>92387</v>
      </c>
      <c r="CN37" s="34">
        <f t="shared" si="4"/>
        <v>0</v>
      </c>
      <c r="CU37" s="28">
        <f>VLOOKUP($A37,'Gen ed tchrs'!A33:R148,18,FALSE)*CU$123</f>
        <v>1935151.65</v>
      </c>
      <c r="CV37" s="28">
        <f>'Gen ed tchrs'!Z33*CV$123/2</f>
        <v>125073.40443749998</v>
      </c>
      <c r="DB37" s="28">
        <f t="shared" si="5"/>
        <v>2436103.2544375001</v>
      </c>
      <c r="DC37" s="28">
        <f t="shared" si="6"/>
        <v>1917333</v>
      </c>
      <c r="DD37" s="28">
        <f t="shared" si="1"/>
        <v>0</v>
      </c>
      <c r="DE37" s="28">
        <f t="shared" si="7"/>
        <v>1917333</v>
      </c>
      <c r="DF37" s="6">
        <f t="shared" si="8"/>
        <v>-518770.25443750015</v>
      </c>
      <c r="DM37" s="34"/>
      <c r="DN37" s="34"/>
    </row>
    <row r="38" spans="1:118" x14ac:dyDescent="0.2">
      <c r="A38">
        <v>471</v>
      </c>
      <c r="B38" t="s">
        <v>91</v>
      </c>
      <c r="C38" t="s">
        <v>1</v>
      </c>
      <c r="D38">
        <v>3</v>
      </c>
      <c r="E38">
        <v>581</v>
      </c>
      <c r="F38">
        <v>581</v>
      </c>
      <c r="G38">
        <v>611</v>
      </c>
      <c r="H38" s="50">
        <f t="shared" si="2"/>
        <v>-30</v>
      </c>
      <c r="I38" s="4">
        <v>0.30636833046471601</v>
      </c>
      <c r="J38">
        <v>178</v>
      </c>
      <c r="K38" s="34">
        <v>198942.26</v>
      </c>
      <c r="L38" s="34">
        <v>0</v>
      </c>
      <c r="M38" s="34">
        <v>321062.33</v>
      </c>
      <c r="N38" s="34">
        <v>71961.03</v>
      </c>
      <c r="O38" s="34">
        <v>22022.68</v>
      </c>
      <c r="P38" s="34">
        <v>79024.509999999995</v>
      </c>
      <c r="Q38" s="34">
        <v>60058.83</v>
      </c>
      <c r="R38" s="34">
        <v>358310.85</v>
      </c>
      <c r="S38" s="34">
        <v>113832.45</v>
      </c>
      <c r="T38" s="34">
        <v>0</v>
      </c>
      <c r="U38" s="34">
        <v>0</v>
      </c>
      <c r="V38" s="34">
        <v>0</v>
      </c>
      <c r="W38" s="34">
        <v>0</v>
      </c>
      <c r="X38" s="34">
        <v>0</v>
      </c>
      <c r="Y38" s="34">
        <v>0</v>
      </c>
      <c r="Z38" s="34">
        <v>0</v>
      </c>
      <c r="AA38" s="34">
        <v>0</v>
      </c>
      <c r="AB38" s="34">
        <v>0</v>
      </c>
      <c r="AC38" s="34">
        <v>0</v>
      </c>
      <c r="AD38" s="34">
        <v>0</v>
      </c>
      <c r="AE38" s="34">
        <v>0</v>
      </c>
      <c r="AF38" s="34">
        <v>3470313</v>
      </c>
      <c r="AG38" s="34">
        <v>344533</v>
      </c>
      <c r="AH38" s="34">
        <v>170748.67</v>
      </c>
      <c r="AI38" s="34">
        <v>227664.89</v>
      </c>
      <c r="AJ38" s="34">
        <v>455329.78</v>
      </c>
      <c r="AK38" s="34">
        <v>0</v>
      </c>
      <c r="AL38" s="34">
        <v>0</v>
      </c>
      <c r="AM38" s="34">
        <v>0</v>
      </c>
      <c r="AN38" s="34">
        <v>0</v>
      </c>
      <c r="AO38" s="34">
        <v>0</v>
      </c>
      <c r="AP38" s="34">
        <v>73467.899999999994</v>
      </c>
      <c r="AQ38" s="34">
        <v>0</v>
      </c>
      <c r="AR38" s="34">
        <v>113832.45</v>
      </c>
      <c r="AS38" s="34">
        <v>0</v>
      </c>
      <c r="AT38" s="34">
        <v>0</v>
      </c>
      <c r="AU38" s="34">
        <v>19710.900000000001</v>
      </c>
      <c r="AV38" s="34">
        <v>0</v>
      </c>
      <c r="AW38" s="34">
        <v>0</v>
      </c>
      <c r="AX38" s="34">
        <v>0</v>
      </c>
      <c r="AY38" s="34">
        <v>0</v>
      </c>
      <c r="AZ38" s="34">
        <v>0</v>
      </c>
      <c r="BA38" s="34">
        <v>0</v>
      </c>
      <c r="BB38" s="34">
        <v>0</v>
      </c>
      <c r="BC38" s="34">
        <v>0</v>
      </c>
      <c r="BD38" s="34">
        <v>0</v>
      </c>
      <c r="BE38" s="34">
        <v>14525</v>
      </c>
      <c r="BF38" s="34">
        <v>0</v>
      </c>
      <c r="BG38" s="34">
        <v>0</v>
      </c>
      <c r="BH38" s="34">
        <v>0</v>
      </c>
      <c r="BI38" s="34">
        <v>0</v>
      </c>
      <c r="BJ38" s="34">
        <v>0</v>
      </c>
      <c r="BK38" s="34">
        <v>0</v>
      </c>
      <c r="BL38" s="34">
        <v>0</v>
      </c>
      <c r="BM38" s="34">
        <v>0</v>
      </c>
      <c r="BN38" s="34">
        <v>0</v>
      </c>
      <c r="BO38" s="34">
        <v>0</v>
      </c>
      <c r="BP38" s="34">
        <v>0</v>
      </c>
      <c r="BQ38" s="34">
        <v>0</v>
      </c>
      <c r="BR38" s="34">
        <v>0</v>
      </c>
      <c r="BS38" s="34">
        <v>0</v>
      </c>
      <c r="BT38" s="34">
        <v>0</v>
      </c>
      <c r="BU38" s="34">
        <v>0</v>
      </c>
      <c r="BV38" s="34">
        <v>3233529</v>
      </c>
      <c r="BW38" s="34">
        <v>0</v>
      </c>
      <c r="BX38" s="34">
        <v>0</v>
      </c>
      <c r="BY38" s="34">
        <v>0</v>
      </c>
      <c r="BZ38" s="34">
        <v>0</v>
      </c>
      <c r="CA38" s="34">
        <v>529123.91</v>
      </c>
      <c r="CB38" s="34">
        <v>0</v>
      </c>
      <c r="CC38" s="34">
        <v>0</v>
      </c>
      <c r="CD38" s="34">
        <v>0</v>
      </c>
      <c r="CE38" s="34">
        <v>0</v>
      </c>
      <c r="CF38" s="34">
        <v>0</v>
      </c>
      <c r="CJ38" s="28">
        <f t="shared" si="3"/>
        <v>9877993.4400000013</v>
      </c>
      <c r="CK38" s="28">
        <v>113832</v>
      </c>
      <c r="CL38" s="28">
        <f t="shared" si="19"/>
        <v>307077.8666666667</v>
      </c>
      <c r="CM38" s="34">
        <f t="shared" ref="CM38:CM69" si="20">IF(E38&lt;300,0.5*CM$123,CM$123)</f>
        <v>92387</v>
      </c>
      <c r="CN38" s="34">
        <f t="shared" si="4"/>
        <v>36921.170395869187</v>
      </c>
      <c r="CO38" s="28">
        <f>CO$123</f>
        <v>58500</v>
      </c>
      <c r="CP38" s="28">
        <f>CP$123</f>
        <v>70673</v>
      </c>
      <c r="CU38" s="59" t="s">
        <v>34</v>
      </c>
      <c r="CV38" s="28">
        <f>'Gen ed tchrs'!Z34*CV$123/2</f>
        <v>88077.858187499995</v>
      </c>
      <c r="DB38" s="28">
        <f t="shared" si="5"/>
        <v>767468.89525003592</v>
      </c>
      <c r="DC38" s="28">
        <f t="shared" si="6"/>
        <v>6703842</v>
      </c>
      <c r="DD38" s="28">
        <f t="shared" ref="DD38:DD69" si="21">SUM(CC38:CF38)</f>
        <v>0</v>
      </c>
      <c r="DE38" s="28">
        <f t="shared" si="7"/>
        <v>6703842</v>
      </c>
      <c r="DF38" s="6">
        <f t="shared" si="8"/>
        <v>5936373.1047499646</v>
      </c>
      <c r="DM38" s="34"/>
      <c r="DN38" s="34"/>
    </row>
    <row r="39" spans="1:118" x14ac:dyDescent="0.2">
      <c r="A39">
        <v>318</v>
      </c>
      <c r="B39" t="s">
        <v>90</v>
      </c>
      <c r="C39" t="s">
        <v>4</v>
      </c>
      <c r="D39">
        <v>8</v>
      </c>
      <c r="E39">
        <v>498</v>
      </c>
      <c r="F39">
        <v>422</v>
      </c>
      <c r="G39">
        <v>378</v>
      </c>
      <c r="H39" s="50">
        <f t="shared" si="2"/>
        <v>44</v>
      </c>
      <c r="I39" s="4">
        <v>0.79116465863453811</v>
      </c>
      <c r="J39">
        <v>394</v>
      </c>
      <c r="K39" s="34">
        <v>198942.26</v>
      </c>
      <c r="L39" s="34">
        <v>56916.22</v>
      </c>
      <c r="M39" s="34">
        <v>0</v>
      </c>
      <c r="N39" s="34">
        <v>71961.03</v>
      </c>
      <c r="O39" s="34">
        <v>6554.65</v>
      </c>
      <c r="P39" s="34">
        <v>79024.509999999995</v>
      </c>
      <c r="Q39" s="34">
        <v>60058.83</v>
      </c>
      <c r="R39" s="34">
        <v>102374.53</v>
      </c>
      <c r="S39" s="34">
        <v>113832.45</v>
      </c>
      <c r="T39" s="34">
        <v>341497.34</v>
      </c>
      <c r="U39" s="34">
        <v>0</v>
      </c>
      <c r="V39" s="34">
        <v>341497.34</v>
      </c>
      <c r="W39" s="34">
        <v>234998.56</v>
      </c>
      <c r="X39" s="34">
        <v>136184.4</v>
      </c>
      <c r="Y39" s="34">
        <v>0</v>
      </c>
      <c r="Z39" s="34">
        <v>0</v>
      </c>
      <c r="AA39" s="34">
        <v>630151.5</v>
      </c>
      <c r="AB39" s="34">
        <v>0</v>
      </c>
      <c r="AC39" s="34">
        <v>0</v>
      </c>
      <c r="AD39" s="34">
        <v>0</v>
      </c>
      <c r="AE39" s="34">
        <v>0</v>
      </c>
      <c r="AF39" s="34">
        <v>2520606</v>
      </c>
      <c r="AG39" s="34">
        <v>164340</v>
      </c>
      <c r="AH39" s="34">
        <v>113832.45</v>
      </c>
      <c r="AI39" s="34">
        <v>227664.89</v>
      </c>
      <c r="AJ39" s="34">
        <v>455329.78</v>
      </c>
      <c r="AK39" s="34">
        <v>341497.34</v>
      </c>
      <c r="AL39" s="34">
        <v>195832.13</v>
      </c>
      <c r="AM39" s="34">
        <v>0</v>
      </c>
      <c r="AN39" s="34">
        <v>0</v>
      </c>
      <c r="AO39" s="34">
        <v>0</v>
      </c>
      <c r="AP39" s="34">
        <v>55548.9</v>
      </c>
      <c r="AQ39" s="34">
        <v>0</v>
      </c>
      <c r="AR39" s="34">
        <v>0</v>
      </c>
      <c r="AS39" s="34">
        <v>5691.62</v>
      </c>
      <c r="AT39" s="34">
        <v>0</v>
      </c>
      <c r="AU39" s="34">
        <v>1791.9</v>
      </c>
      <c r="AV39" s="34">
        <v>34000</v>
      </c>
      <c r="AW39" s="34">
        <v>27200</v>
      </c>
      <c r="AX39" s="34">
        <v>10200</v>
      </c>
      <c r="AY39" s="34">
        <v>0</v>
      </c>
      <c r="AZ39" s="34">
        <v>27200</v>
      </c>
      <c r="BA39" s="34">
        <v>0</v>
      </c>
      <c r="BB39" s="34">
        <v>20400</v>
      </c>
      <c r="BC39" s="34">
        <v>269508.23</v>
      </c>
      <c r="BD39" s="34">
        <v>4341.1099999999997</v>
      </c>
      <c r="BE39" s="34">
        <v>0</v>
      </c>
      <c r="BF39" s="34">
        <v>0</v>
      </c>
      <c r="BG39" s="34">
        <v>0</v>
      </c>
      <c r="BH39" s="34">
        <v>0</v>
      </c>
      <c r="BI39" s="34">
        <v>0</v>
      </c>
      <c r="BJ39" s="34">
        <v>0</v>
      </c>
      <c r="BK39" s="34">
        <v>0</v>
      </c>
      <c r="BL39" s="34">
        <v>0</v>
      </c>
      <c r="BM39" s="34">
        <v>0</v>
      </c>
      <c r="BN39" s="34">
        <v>0</v>
      </c>
      <c r="BO39" s="34">
        <v>0</v>
      </c>
      <c r="BP39" s="34">
        <v>0</v>
      </c>
      <c r="BQ39" s="34">
        <v>0</v>
      </c>
      <c r="BR39" s="34">
        <v>0</v>
      </c>
      <c r="BS39" s="34">
        <v>0</v>
      </c>
      <c r="BT39" s="34">
        <v>0</v>
      </c>
      <c r="BU39" s="34">
        <v>15325</v>
      </c>
      <c r="BV39" s="34">
        <v>0</v>
      </c>
      <c r="BW39" s="34">
        <v>0</v>
      </c>
      <c r="BX39" s="34">
        <v>0</v>
      </c>
      <c r="BY39" s="34">
        <v>0</v>
      </c>
      <c r="BZ39" s="34">
        <v>0</v>
      </c>
      <c r="CA39" s="34">
        <v>1056906.58</v>
      </c>
      <c r="CB39" s="34">
        <v>232708.08</v>
      </c>
      <c r="CC39" s="34">
        <v>0</v>
      </c>
      <c r="CD39" s="34">
        <v>0</v>
      </c>
      <c r="CE39" s="34">
        <v>0</v>
      </c>
      <c r="CF39" s="34">
        <v>0</v>
      </c>
      <c r="CJ39" s="28">
        <f t="shared" si="3"/>
        <v>8153917.6300000018</v>
      </c>
      <c r="CK39" s="28">
        <v>113832</v>
      </c>
      <c r="CL39" s="28">
        <f>E39/400*CL$123</f>
        <v>197407.2</v>
      </c>
      <c r="CM39" s="34">
        <f t="shared" si="20"/>
        <v>92387</v>
      </c>
      <c r="CN39" s="34">
        <f t="shared" si="4"/>
        <v>43074.698795180724</v>
      </c>
      <c r="CQ39" s="28">
        <v>113832.45</v>
      </c>
      <c r="CR39" s="28">
        <v>113832.45</v>
      </c>
      <c r="CS39" s="28">
        <f>1.5*$CQ$123</f>
        <v>170748.67499999999</v>
      </c>
      <c r="CT39" s="34">
        <f>VLOOKUP($A39,'PosxSchpostCouncil 22'!$A$6:$DP$121,94,FALSE)*CT$123</f>
        <v>117499.29000000001</v>
      </c>
      <c r="CU39" s="28">
        <f>VLOOKUP($A39,'Gen ed tchrs'!A35:R150,18,FALSE)*CU$123</f>
        <v>2731978.8</v>
      </c>
      <c r="CV39" s="28">
        <f>'Gen ed tchrs'!Z35*CV$123/2</f>
        <v>60686.924906249995</v>
      </c>
      <c r="DB39" s="28">
        <f t="shared" si="5"/>
        <v>3755279.4887014306</v>
      </c>
      <c r="DC39" s="28">
        <f t="shared" si="6"/>
        <v>3150757.5</v>
      </c>
      <c r="DD39" s="28">
        <f t="shared" si="21"/>
        <v>0</v>
      </c>
      <c r="DE39" s="28">
        <f t="shared" si="7"/>
        <v>3150757.5</v>
      </c>
      <c r="DF39" s="6">
        <f t="shared" si="8"/>
        <v>-604521.98870143062</v>
      </c>
      <c r="DM39" s="34"/>
      <c r="DN39" s="34"/>
    </row>
    <row r="40" spans="1:118" x14ac:dyDescent="0.2">
      <c r="A40">
        <v>238</v>
      </c>
      <c r="B40" t="s">
        <v>89</v>
      </c>
      <c r="C40" t="s">
        <v>7</v>
      </c>
      <c r="D40">
        <v>8</v>
      </c>
      <c r="E40">
        <v>251</v>
      </c>
      <c r="F40">
        <v>202</v>
      </c>
      <c r="G40">
        <v>191</v>
      </c>
      <c r="H40" s="50">
        <f t="shared" si="2"/>
        <v>11</v>
      </c>
      <c r="I40" s="4">
        <v>0.84063745019920322</v>
      </c>
      <c r="J40">
        <v>211</v>
      </c>
      <c r="K40" s="34">
        <v>198942.26</v>
      </c>
      <c r="L40" s="34">
        <v>0</v>
      </c>
      <c r="M40" s="34">
        <v>0</v>
      </c>
      <c r="N40" s="34">
        <v>71961.03</v>
      </c>
      <c r="O40" s="34">
        <v>5599.7</v>
      </c>
      <c r="P40" s="34">
        <v>79024.509999999995</v>
      </c>
      <c r="Q40" s="34">
        <v>60058.83</v>
      </c>
      <c r="R40" s="34">
        <v>51187.26</v>
      </c>
      <c r="S40" s="34">
        <v>113832.45</v>
      </c>
      <c r="T40" s="34">
        <v>113832.45</v>
      </c>
      <c r="U40" s="34">
        <v>113832.45</v>
      </c>
      <c r="V40" s="34">
        <v>113832.45</v>
      </c>
      <c r="W40" s="34">
        <v>117499.28</v>
      </c>
      <c r="X40" s="34">
        <v>87803.1</v>
      </c>
      <c r="Y40" s="34">
        <v>0</v>
      </c>
      <c r="Z40" s="34">
        <v>0</v>
      </c>
      <c r="AA40" s="34">
        <v>0</v>
      </c>
      <c r="AB40" s="34">
        <v>0</v>
      </c>
      <c r="AC40" s="34">
        <v>0</v>
      </c>
      <c r="AD40" s="34">
        <v>0</v>
      </c>
      <c r="AE40" s="34">
        <v>0</v>
      </c>
      <c r="AF40" s="34">
        <v>1206546</v>
      </c>
      <c r="AG40" s="34">
        <v>81575</v>
      </c>
      <c r="AH40" s="34">
        <v>113832.45</v>
      </c>
      <c r="AI40" s="34">
        <v>113832.45</v>
      </c>
      <c r="AJ40" s="34">
        <v>341497.34</v>
      </c>
      <c r="AK40" s="34">
        <v>341497.34</v>
      </c>
      <c r="AL40" s="34">
        <v>234998.56</v>
      </c>
      <c r="AM40" s="34">
        <v>0</v>
      </c>
      <c r="AN40" s="34">
        <v>0</v>
      </c>
      <c r="AO40" s="34">
        <v>0</v>
      </c>
      <c r="AP40" s="34">
        <v>86011.199999999997</v>
      </c>
      <c r="AQ40" s="34">
        <v>0</v>
      </c>
      <c r="AR40" s="34">
        <v>0</v>
      </c>
      <c r="AS40" s="34">
        <v>5691.62</v>
      </c>
      <c r="AT40" s="34">
        <v>0</v>
      </c>
      <c r="AU40" s="34">
        <v>1791.9</v>
      </c>
      <c r="AV40" s="34">
        <v>20400</v>
      </c>
      <c r="AW40" s="34">
        <v>13600</v>
      </c>
      <c r="AX40" s="34">
        <v>10200</v>
      </c>
      <c r="AY40" s="34">
        <v>0</v>
      </c>
      <c r="AZ40" s="34">
        <v>20400</v>
      </c>
      <c r="BA40" s="34">
        <v>0</v>
      </c>
      <c r="BB40" s="34">
        <v>13600</v>
      </c>
      <c r="BC40" s="34">
        <v>135836.48000000001</v>
      </c>
      <c r="BD40" s="34">
        <v>2187.9899999999998</v>
      </c>
      <c r="BE40" s="34">
        <v>0</v>
      </c>
      <c r="BF40" s="34">
        <v>0</v>
      </c>
      <c r="BG40" s="34">
        <v>0</v>
      </c>
      <c r="BH40" s="34">
        <v>0</v>
      </c>
      <c r="BI40" s="34">
        <v>0</v>
      </c>
      <c r="BJ40" s="34">
        <v>0</v>
      </c>
      <c r="BK40" s="34">
        <v>0</v>
      </c>
      <c r="BL40" s="34">
        <v>0</v>
      </c>
      <c r="BM40" s="34">
        <v>0</v>
      </c>
      <c r="BN40" s="34">
        <v>0</v>
      </c>
      <c r="BO40" s="34">
        <v>0</v>
      </c>
      <c r="BP40" s="34">
        <v>0</v>
      </c>
      <c r="BQ40" s="34">
        <v>0</v>
      </c>
      <c r="BR40" s="34">
        <v>0</v>
      </c>
      <c r="BS40" s="34">
        <v>0</v>
      </c>
      <c r="BT40" s="34">
        <v>0</v>
      </c>
      <c r="BU40" s="34">
        <v>15325</v>
      </c>
      <c r="BV40" s="34">
        <v>0</v>
      </c>
      <c r="BW40" s="34">
        <v>0</v>
      </c>
      <c r="BX40" s="34">
        <v>0</v>
      </c>
      <c r="BY40" s="34">
        <v>0</v>
      </c>
      <c r="BZ40" s="34">
        <v>0</v>
      </c>
      <c r="CA40" s="34">
        <v>566008.34</v>
      </c>
      <c r="CB40" s="34">
        <v>132122.76</v>
      </c>
      <c r="CC40" s="34">
        <v>0</v>
      </c>
      <c r="CD40" s="34">
        <v>0</v>
      </c>
      <c r="CE40" s="34">
        <v>360673.1</v>
      </c>
      <c r="CF40" s="34">
        <v>0</v>
      </c>
      <c r="CJ40" s="28">
        <f t="shared" si="3"/>
        <v>4945033.3</v>
      </c>
      <c r="CK40" s="28">
        <v>113832</v>
      </c>
      <c r="CM40" s="34">
        <f t="shared" si="20"/>
        <v>46193.5</v>
      </c>
      <c r="CN40" s="34">
        <f t="shared" si="4"/>
        <v>0</v>
      </c>
      <c r="CQ40" s="28">
        <f>IF('Gen ed tchrs'!$V36&gt;37,2*113832,IF('Gen ed tchrs'!$V36&gt;25,1.5*113832,113832))</f>
        <v>113832</v>
      </c>
      <c r="CR40" s="28">
        <f>IF('Gen ed tchrs'!$V36&gt;37,2*113832,IF('Gen ed tchrs'!$V36&gt;25,1.5*113832,113832))</f>
        <v>113832</v>
      </c>
      <c r="CS40" s="28">
        <f>IF('Gen ed tchrs'!$V36&gt;39.1,3.5*113832,IF('Gen ed tchrs'!$V36&gt;33.1,3*113832,IF('Gen ed tchrs'!$V36&gt;26.1,2.5*113832,IF('Gen ed tchrs'!$V36&gt;20.1,2*113832,IF('Gen ed tchrs'!$V36&gt;13.1,1.5*113832,113832)))))</f>
        <v>170748</v>
      </c>
      <c r="CT40" s="34">
        <f>VLOOKUP($A40,'PosxSchpostCouncil 22'!$A$6:$DP$121,94,FALSE)*CT$123</f>
        <v>78332.86</v>
      </c>
      <c r="CU40" s="28">
        <f>VLOOKUP($A40,'Gen ed tchrs'!A36:R151,18,FALSE)*CU$123</f>
        <v>1365989.4</v>
      </c>
      <c r="CV40" s="28">
        <f>'Gen ed tchrs'!Z36*CV$123/2</f>
        <v>56916.224999999999</v>
      </c>
      <c r="DB40" s="28">
        <f t="shared" si="5"/>
        <v>2059675.9849999999</v>
      </c>
      <c r="DC40" s="28">
        <f t="shared" si="6"/>
        <v>1206546</v>
      </c>
      <c r="DD40" s="28">
        <f t="shared" si="21"/>
        <v>360673.1</v>
      </c>
      <c r="DE40" s="28">
        <f t="shared" si="7"/>
        <v>1567219.1</v>
      </c>
      <c r="DF40" s="6">
        <f t="shared" si="8"/>
        <v>-492456.88499999978</v>
      </c>
      <c r="DM40" s="34"/>
      <c r="DN40" s="34"/>
    </row>
    <row r="41" spans="1:118" x14ac:dyDescent="0.2">
      <c r="A41">
        <v>239</v>
      </c>
      <c r="B41" t="s">
        <v>88</v>
      </c>
      <c r="C41" t="s">
        <v>7</v>
      </c>
      <c r="D41">
        <v>2</v>
      </c>
      <c r="E41">
        <v>354</v>
      </c>
      <c r="F41">
        <v>277</v>
      </c>
      <c r="G41">
        <v>260</v>
      </c>
      <c r="H41" s="50">
        <f t="shared" si="2"/>
        <v>17</v>
      </c>
      <c r="I41" s="4">
        <v>0.41807909604519772</v>
      </c>
      <c r="J41">
        <v>148</v>
      </c>
      <c r="K41" s="34">
        <v>198942.26</v>
      </c>
      <c r="L41" s="34">
        <v>0</v>
      </c>
      <c r="M41" s="34">
        <v>0</v>
      </c>
      <c r="N41" s="34">
        <v>71961.03</v>
      </c>
      <c r="O41" s="34">
        <v>5466</v>
      </c>
      <c r="P41" s="34">
        <v>79024.509999999995</v>
      </c>
      <c r="Q41" s="34">
        <v>60058.83</v>
      </c>
      <c r="R41" s="34">
        <v>102374.53</v>
      </c>
      <c r="S41" s="34">
        <v>113832.45</v>
      </c>
      <c r="T41" s="34">
        <v>227664.89</v>
      </c>
      <c r="U41" s="34">
        <v>113832.45</v>
      </c>
      <c r="V41" s="34">
        <v>227664.89</v>
      </c>
      <c r="W41" s="34">
        <v>195832.13</v>
      </c>
      <c r="X41" s="34">
        <v>137976.29999999999</v>
      </c>
      <c r="Y41" s="34">
        <v>0</v>
      </c>
      <c r="Z41" s="34">
        <v>0</v>
      </c>
      <c r="AA41" s="34">
        <v>0</v>
      </c>
      <c r="AB41" s="34">
        <v>0</v>
      </c>
      <c r="AC41" s="34">
        <v>0</v>
      </c>
      <c r="AD41" s="34">
        <v>0</v>
      </c>
      <c r="AE41" s="34">
        <v>0</v>
      </c>
      <c r="AF41" s="34">
        <v>1654521</v>
      </c>
      <c r="AG41" s="34">
        <v>115050</v>
      </c>
      <c r="AH41" s="34">
        <v>113832.45</v>
      </c>
      <c r="AI41" s="34">
        <v>113832.45</v>
      </c>
      <c r="AJ41" s="34">
        <v>455329.78</v>
      </c>
      <c r="AK41" s="34">
        <v>455329.78</v>
      </c>
      <c r="AL41" s="34">
        <v>234998.56</v>
      </c>
      <c r="AM41" s="34">
        <v>0</v>
      </c>
      <c r="AN41" s="34">
        <v>0</v>
      </c>
      <c r="AO41" s="34">
        <v>0</v>
      </c>
      <c r="AP41" s="34">
        <v>141560.1</v>
      </c>
      <c r="AQ41" s="34">
        <v>0</v>
      </c>
      <c r="AR41" s="34">
        <v>569162.23</v>
      </c>
      <c r="AS41" s="34">
        <v>0</v>
      </c>
      <c r="AT41" s="34">
        <v>0</v>
      </c>
      <c r="AU41" s="34">
        <v>179190</v>
      </c>
      <c r="AV41" s="34">
        <v>20400</v>
      </c>
      <c r="AW41" s="34">
        <v>13600</v>
      </c>
      <c r="AX41" s="34">
        <v>10200</v>
      </c>
      <c r="AY41" s="34">
        <v>0</v>
      </c>
      <c r="AZ41" s="34">
        <v>20400</v>
      </c>
      <c r="BA41" s="34">
        <v>0</v>
      </c>
      <c r="BB41" s="34">
        <v>13600</v>
      </c>
      <c r="BC41" s="34">
        <v>85723.1</v>
      </c>
      <c r="BD41" s="34">
        <v>1380.79</v>
      </c>
      <c r="BE41" s="34">
        <v>0</v>
      </c>
      <c r="BF41" s="34">
        <v>0</v>
      </c>
      <c r="BG41" s="34">
        <v>0</v>
      </c>
      <c r="BH41" s="34">
        <v>0</v>
      </c>
      <c r="BI41" s="34">
        <v>0</v>
      </c>
      <c r="BJ41" s="34">
        <v>0</v>
      </c>
      <c r="BK41" s="34">
        <v>0</v>
      </c>
      <c r="BL41" s="34">
        <v>0</v>
      </c>
      <c r="BM41" s="34">
        <v>0</v>
      </c>
      <c r="BN41" s="34">
        <v>0</v>
      </c>
      <c r="BO41" s="34">
        <v>0</v>
      </c>
      <c r="BP41" s="34">
        <v>0</v>
      </c>
      <c r="BQ41" s="34">
        <v>0</v>
      </c>
      <c r="BR41" s="34">
        <v>0</v>
      </c>
      <c r="BS41" s="34">
        <v>0</v>
      </c>
      <c r="BT41" s="34">
        <v>0</v>
      </c>
      <c r="BU41" s="34">
        <v>15325</v>
      </c>
      <c r="BV41" s="34">
        <v>0</v>
      </c>
      <c r="BW41" s="34">
        <v>0</v>
      </c>
      <c r="BX41" s="34">
        <v>0</v>
      </c>
      <c r="BY41" s="34">
        <v>0</v>
      </c>
      <c r="BZ41" s="34">
        <v>0</v>
      </c>
      <c r="CA41" s="34">
        <v>397010.59</v>
      </c>
      <c r="CB41" s="34">
        <v>7645.44</v>
      </c>
      <c r="CC41" s="34">
        <v>0</v>
      </c>
      <c r="CD41" s="34">
        <v>0</v>
      </c>
      <c r="CE41" s="34">
        <v>0</v>
      </c>
      <c r="CF41" s="34">
        <v>0</v>
      </c>
      <c r="CJ41" s="28">
        <f t="shared" si="3"/>
        <v>6152721.5399999991</v>
      </c>
      <c r="CK41" s="28">
        <v>113832</v>
      </c>
      <c r="CL41" s="28">
        <f t="shared" ref="CL41:CL42" si="22">E41/400*CL$123</f>
        <v>140325.6</v>
      </c>
      <c r="CM41" s="34">
        <f t="shared" si="20"/>
        <v>92387</v>
      </c>
      <c r="CN41" s="34">
        <f t="shared" si="4"/>
        <v>0</v>
      </c>
      <c r="CQ41" s="28">
        <f>IF('Gen ed tchrs'!$V37&gt;37,2*113832,IF('Gen ed tchrs'!$V37&gt;25,1.5*113832,113832))</f>
        <v>113832</v>
      </c>
      <c r="CR41" s="28">
        <f>IF('Gen ed tchrs'!$V37&gt;37,2*113832,IF('Gen ed tchrs'!$V37&gt;25,1.5*113832,113832))</f>
        <v>113832</v>
      </c>
      <c r="CS41" s="28">
        <f>IF('Gen ed tchrs'!$V37&gt;39.1,3.5*113832,IF('Gen ed tchrs'!$V37&gt;33.1,3*113832,IF('Gen ed tchrs'!$V37&gt;26.1,2.5*113832,IF('Gen ed tchrs'!$V37&gt;20.1,2*113832,IF('Gen ed tchrs'!$V37&gt;13.1,1.5*113832,113832)))))</f>
        <v>170748</v>
      </c>
      <c r="CT41" s="34">
        <f>VLOOKUP($A41,'PosxSchpostCouncil 22'!$A$6:$DP$121,94,FALSE)*CT$123</f>
        <v>117499.29000000001</v>
      </c>
      <c r="CU41" s="28">
        <f>VLOOKUP($A41,'Gen ed tchrs'!A37:R152,18,FALSE)*CU$123</f>
        <v>1707486.75</v>
      </c>
      <c r="CV41" s="28">
        <f>'Gen ed tchrs'!Z37*CV$123/2</f>
        <v>19138.080656249997</v>
      </c>
      <c r="DB41" s="28">
        <f t="shared" si="5"/>
        <v>2589080.7206562501</v>
      </c>
      <c r="DC41" s="28">
        <f t="shared" si="6"/>
        <v>1654521</v>
      </c>
      <c r="DD41" s="28">
        <f t="shared" si="21"/>
        <v>0</v>
      </c>
      <c r="DE41" s="28">
        <f t="shared" si="7"/>
        <v>1654521</v>
      </c>
      <c r="DF41" s="6">
        <f t="shared" si="8"/>
        <v>-934559.72065625014</v>
      </c>
      <c r="DM41" s="34"/>
      <c r="DN41" s="34"/>
    </row>
    <row r="42" spans="1:118" x14ac:dyDescent="0.2">
      <c r="A42">
        <v>227</v>
      </c>
      <c r="B42" t="s">
        <v>87</v>
      </c>
      <c r="C42" t="s">
        <v>7</v>
      </c>
      <c r="D42">
        <v>1</v>
      </c>
      <c r="E42">
        <v>366</v>
      </c>
      <c r="F42">
        <v>293</v>
      </c>
      <c r="G42">
        <v>324</v>
      </c>
      <c r="H42" s="50">
        <f t="shared" si="2"/>
        <v>-31</v>
      </c>
      <c r="I42" s="4">
        <v>0.49453551912568305</v>
      </c>
      <c r="J42">
        <v>181</v>
      </c>
      <c r="K42" s="34">
        <v>198942.26</v>
      </c>
      <c r="L42" s="34">
        <v>0</v>
      </c>
      <c r="M42" s="34">
        <v>0</v>
      </c>
      <c r="N42" s="34">
        <v>71961.03</v>
      </c>
      <c r="O42" s="34">
        <v>6775.6</v>
      </c>
      <c r="P42" s="34">
        <v>79024.509999999995</v>
      </c>
      <c r="Q42" s="34">
        <v>60058.83</v>
      </c>
      <c r="R42" s="34">
        <v>102374.53</v>
      </c>
      <c r="S42" s="34">
        <v>113832.45</v>
      </c>
      <c r="T42" s="34">
        <v>227664.89</v>
      </c>
      <c r="U42" s="34">
        <v>0</v>
      </c>
      <c r="V42" s="34">
        <v>341497.34</v>
      </c>
      <c r="W42" s="34">
        <v>195832.13</v>
      </c>
      <c r="X42" s="34">
        <v>130808.7</v>
      </c>
      <c r="Y42" s="34">
        <v>0</v>
      </c>
      <c r="Z42" s="34">
        <v>0</v>
      </c>
      <c r="AA42" s="34">
        <v>0</v>
      </c>
      <c r="AB42" s="34">
        <v>0</v>
      </c>
      <c r="AC42" s="34">
        <v>0</v>
      </c>
      <c r="AD42" s="34">
        <v>0</v>
      </c>
      <c r="AE42" s="34">
        <v>0</v>
      </c>
      <c r="AF42" s="34">
        <v>1750089</v>
      </c>
      <c r="AG42" s="34">
        <v>118950</v>
      </c>
      <c r="AH42" s="34">
        <v>113832.45</v>
      </c>
      <c r="AI42" s="34">
        <v>227664.89</v>
      </c>
      <c r="AJ42" s="34">
        <v>341497.34</v>
      </c>
      <c r="AK42" s="34">
        <v>341497.34</v>
      </c>
      <c r="AL42" s="34">
        <v>195832.13</v>
      </c>
      <c r="AM42" s="34">
        <v>0</v>
      </c>
      <c r="AN42" s="34">
        <v>0</v>
      </c>
      <c r="AO42" s="34">
        <v>0</v>
      </c>
      <c r="AP42" s="34">
        <v>139768.20000000001</v>
      </c>
      <c r="AQ42" s="34">
        <v>0</v>
      </c>
      <c r="AR42" s="34">
        <v>1024492.02</v>
      </c>
      <c r="AS42" s="34">
        <v>0</v>
      </c>
      <c r="AT42" s="34">
        <v>39166.43</v>
      </c>
      <c r="AU42" s="34">
        <v>336877.2</v>
      </c>
      <c r="AV42" s="34">
        <v>0</v>
      </c>
      <c r="AW42" s="34">
        <v>0</v>
      </c>
      <c r="AX42" s="34">
        <v>0</v>
      </c>
      <c r="AY42" s="34">
        <v>0</v>
      </c>
      <c r="AZ42" s="34">
        <v>0</v>
      </c>
      <c r="BA42" s="34">
        <v>0</v>
      </c>
      <c r="BB42" s="34">
        <v>0</v>
      </c>
      <c r="BC42" s="34">
        <v>144603.60999999999</v>
      </c>
      <c r="BD42" s="34">
        <v>2329.21</v>
      </c>
      <c r="BE42" s="34">
        <v>0</v>
      </c>
      <c r="BF42" s="34">
        <v>0</v>
      </c>
      <c r="BG42" s="34">
        <v>0</v>
      </c>
      <c r="BH42" s="34">
        <v>0</v>
      </c>
      <c r="BI42" s="34">
        <v>0</v>
      </c>
      <c r="BJ42" s="34">
        <v>0</v>
      </c>
      <c r="BK42" s="34">
        <v>0</v>
      </c>
      <c r="BL42" s="34">
        <v>0</v>
      </c>
      <c r="BM42" s="34">
        <v>119483.41</v>
      </c>
      <c r="BN42" s="34">
        <v>3000</v>
      </c>
      <c r="BO42" s="34">
        <v>0</v>
      </c>
      <c r="BP42" s="34">
        <v>0</v>
      </c>
      <c r="BQ42" s="34">
        <v>0</v>
      </c>
      <c r="BR42" s="34">
        <v>0</v>
      </c>
      <c r="BS42" s="34">
        <v>0</v>
      </c>
      <c r="BT42" s="34">
        <v>0</v>
      </c>
      <c r="BU42" s="34">
        <v>15325</v>
      </c>
      <c r="BV42" s="34">
        <v>0</v>
      </c>
      <c r="BW42" s="34">
        <v>0</v>
      </c>
      <c r="BX42" s="34">
        <v>0</v>
      </c>
      <c r="BY42" s="34">
        <v>0</v>
      </c>
      <c r="BZ42" s="34">
        <v>0</v>
      </c>
      <c r="CA42" s="34">
        <v>485533.22</v>
      </c>
      <c r="CB42" s="34">
        <v>41333.160000000003</v>
      </c>
      <c r="CC42" s="34">
        <v>287627.36</v>
      </c>
      <c r="CD42" s="34">
        <v>367699.59</v>
      </c>
      <c r="CE42" s="34">
        <v>0</v>
      </c>
      <c r="CF42" s="34">
        <v>0</v>
      </c>
      <c r="CJ42" s="28">
        <f t="shared" si="3"/>
        <v>7625373.830000001</v>
      </c>
      <c r="CK42" s="28">
        <v>113832</v>
      </c>
      <c r="CL42" s="28">
        <f t="shared" si="22"/>
        <v>145082.4</v>
      </c>
      <c r="CM42" s="34">
        <f t="shared" si="20"/>
        <v>92387</v>
      </c>
      <c r="CN42" s="34">
        <f t="shared" si="4"/>
        <v>0</v>
      </c>
      <c r="CQ42" s="28">
        <f>IF('Gen ed tchrs'!$V38&gt;37,2*113832,IF('Gen ed tchrs'!$V38&gt;25,1.5*113832,113832))</f>
        <v>113832</v>
      </c>
      <c r="CR42" s="28">
        <f>IF('Gen ed tchrs'!$V38&gt;37,2*113832,IF('Gen ed tchrs'!$V38&gt;25,1.5*113832,113832))</f>
        <v>113832</v>
      </c>
      <c r="CS42" s="28">
        <f>IF('Gen ed tchrs'!$V38&gt;39.1,3.5*113832,IF('Gen ed tchrs'!$V38&gt;33.1,3*113832,IF('Gen ed tchrs'!$V38&gt;26.1,2.5*113832,IF('Gen ed tchrs'!$V38&gt;20.1,2*113832,IF('Gen ed tchrs'!$V38&gt;13.1,1.5*113832,113832)))))</f>
        <v>227664</v>
      </c>
      <c r="CT42" s="34">
        <f>VLOOKUP($A42,'PosxSchpostCouncil 22'!$A$6:$DP$121,94,FALSE)*CT$123</f>
        <v>117499.29000000001</v>
      </c>
      <c r="CU42" s="28">
        <f>VLOOKUP($A42,'Gen ed tchrs'!A38:R153,18,FALSE)*CU$123</f>
        <v>1821319.2</v>
      </c>
      <c r="CV42" s="28">
        <f>'Gen ed tchrs'!Z38*CV$123/2</f>
        <v>17857.46559375001</v>
      </c>
      <c r="DB42" s="28">
        <f t="shared" si="5"/>
        <v>2763305.3555937503</v>
      </c>
      <c r="DC42" s="28">
        <f t="shared" si="6"/>
        <v>1750089</v>
      </c>
      <c r="DD42" s="28">
        <f t="shared" si="21"/>
        <v>655326.94999999995</v>
      </c>
      <c r="DE42" s="28">
        <f t="shared" si="7"/>
        <v>2405415.9500000002</v>
      </c>
      <c r="DF42" s="6">
        <f t="shared" si="8"/>
        <v>-357889.40559375007</v>
      </c>
      <c r="DM42" s="34"/>
      <c r="DN42" s="34"/>
    </row>
    <row r="43" spans="1:118" x14ac:dyDescent="0.2">
      <c r="A43">
        <v>246</v>
      </c>
      <c r="B43" t="s">
        <v>86</v>
      </c>
      <c r="C43" t="s">
        <v>19</v>
      </c>
      <c r="D43">
        <v>2</v>
      </c>
      <c r="E43">
        <v>556</v>
      </c>
      <c r="F43">
        <v>556</v>
      </c>
      <c r="G43">
        <v>525</v>
      </c>
      <c r="H43" s="50">
        <f t="shared" si="2"/>
        <v>31</v>
      </c>
      <c r="I43" s="4">
        <v>0.13848920863309352</v>
      </c>
      <c r="J43">
        <v>77</v>
      </c>
      <c r="K43" s="34">
        <v>198942.26</v>
      </c>
      <c r="L43" s="34">
        <v>170748.67</v>
      </c>
      <c r="M43" s="34">
        <v>0</v>
      </c>
      <c r="N43" s="34">
        <v>71961.03</v>
      </c>
      <c r="O43" s="34">
        <v>7038.2</v>
      </c>
      <c r="P43" s="34">
        <v>79024.509999999995</v>
      </c>
      <c r="Q43" s="34">
        <v>60058.83</v>
      </c>
      <c r="R43" s="34">
        <v>153561.79</v>
      </c>
      <c r="S43" s="34">
        <v>113832.45</v>
      </c>
      <c r="T43" s="34">
        <v>0</v>
      </c>
      <c r="U43" s="34">
        <v>0</v>
      </c>
      <c r="V43" s="34">
        <v>0</v>
      </c>
      <c r="W43" s="34">
        <v>0</v>
      </c>
      <c r="X43" s="34">
        <v>0</v>
      </c>
      <c r="Y43" s="34">
        <v>0</v>
      </c>
      <c r="Z43" s="34">
        <v>0</v>
      </c>
      <c r="AA43" s="34">
        <v>0</v>
      </c>
      <c r="AB43" s="34">
        <v>0</v>
      </c>
      <c r="AC43" s="34">
        <v>0</v>
      </c>
      <c r="AD43" s="34">
        <v>0</v>
      </c>
      <c r="AE43" s="34">
        <v>0</v>
      </c>
      <c r="AF43" s="34">
        <v>3320988</v>
      </c>
      <c r="AG43" s="34">
        <v>190152</v>
      </c>
      <c r="AH43" s="34">
        <v>113832.45</v>
      </c>
      <c r="AI43" s="34">
        <v>227664.89</v>
      </c>
      <c r="AJ43" s="34">
        <v>569162.23</v>
      </c>
      <c r="AK43" s="34">
        <v>569162.23</v>
      </c>
      <c r="AL43" s="34">
        <v>274164.99</v>
      </c>
      <c r="AM43" s="34">
        <v>0</v>
      </c>
      <c r="AN43" s="34">
        <v>0</v>
      </c>
      <c r="AO43" s="34">
        <v>0</v>
      </c>
      <c r="AP43" s="34">
        <v>107514</v>
      </c>
      <c r="AQ43" s="34">
        <v>0</v>
      </c>
      <c r="AR43" s="34">
        <v>227664.89</v>
      </c>
      <c r="AS43" s="34">
        <v>0</v>
      </c>
      <c r="AT43" s="34">
        <v>0</v>
      </c>
      <c r="AU43" s="34">
        <v>60924.6</v>
      </c>
      <c r="AV43" s="34">
        <v>0</v>
      </c>
      <c r="AW43" s="34">
        <v>0</v>
      </c>
      <c r="AX43" s="34">
        <v>0</v>
      </c>
      <c r="AY43" s="34">
        <v>0</v>
      </c>
      <c r="AZ43" s="34">
        <v>0</v>
      </c>
      <c r="BA43" s="34">
        <v>0</v>
      </c>
      <c r="BB43" s="34">
        <v>0</v>
      </c>
      <c r="BC43" s="34">
        <v>0</v>
      </c>
      <c r="BD43" s="34">
        <v>0</v>
      </c>
      <c r="BE43" s="34">
        <v>13900</v>
      </c>
      <c r="BF43" s="34">
        <v>0</v>
      </c>
      <c r="BG43" s="34">
        <v>0</v>
      </c>
      <c r="BH43" s="34">
        <v>0</v>
      </c>
      <c r="BI43" s="34">
        <v>0</v>
      </c>
      <c r="BJ43" s="34">
        <v>0</v>
      </c>
      <c r="BK43" s="34">
        <v>0</v>
      </c>
      <c r="BL43" s="34">
        <v>0</v>
      </c>
      <c r="BM43" s="34">
        <v>0</v>
      </c>
      <c r="BN43" s="34">
        <v>0</v>
      </c>
      <c r="BO43" s="34">
        <v>0</v>
      </c>
      <c r="BP43" s="34">
        <v>0</v>
      </c>
      <c r="BQ43" s="34">
        <v>0</v>
      </c>
      <c r="BR43" s="34">
        <v>0</v>
      </c>
      <c r="BS43" s="34">
        <v>0</v>
      </c>
      <c r="BT43" s="34">
        <v>0</v>
      </c>
      <c r="BU43" s="34">
        <v>0</v>
      </c>
      <c r="BV43" s="34">
        <v>0</v>
      </c>
      <c r="BW43" s="34">
        <v>55921</v>
      </c>
      <c r="BX43" s="34">
        <v>0</v>
      </c>
      <c r="BY43" s="34">
        <v>0</v>
      </c>
      <c r="BZ43" s="34">
        <v>0</v>
      </c>
      <c r="CA43" s="34">
        <v>206552.81</v>
      </c>
      <c r="CB43" s="34">
        <v>0</v>
      </c>
      <c r="CC43" s="34">
        <v>0</v>
      </c>
      <c r="CD43" s="34">
        <v>0</v>
      </c>
      <c r="CE43" s="34">
        <v>0</v>
      </c>
      <c r="CF43" s="34">
        <v>0</v>
      </c>
      <c r="CJ43" s="28">
        <f t="shared" si="3"/>
        <v>6792771.8300000001</v>
      </c>
      <c r="CK43" s="28">
        <v>113832</v>
      </c>
      <c r="CL43" s="28">
        <f t="shared" ref="CL43:CL44" si="23">E43/300*CL$123</f>
        <v>293864.53333333333</v>
      </c>
      <c r="CM43" s="34">
        <f t="shared" si="20"/>
        <v>92387</v>
      </c>
      <c r="CN43" s="34">
        <f t="shared" si="4"/>
        <v>38581.294964028777</v>
      </c>
      <c r="CU43" s="28">
        <f>VLOOKUP($A43,'Gen ed tchrs'!A39:R154,18,FALSE)*CU$123</f>
        <v>3414973.5</v>
      </c>
      <c r="CV43" s="28">
        <f>'Gen ed tchrs'!Z39*CV$123/2</f>
        <v>91635.122250000015</v>
      </c>
      <c r="DB43" s="28">
        <f t="shared" si="5"/>
        <v>4045273.4505473622</v>
      </c>
      <c r="DC43" s="28">
        <f t="shared" si="6"/>
        <v>3320988</v>
      </c>
      <c r="DD43" s="28">
        <f t="shared" si="21"/>
        <v>0</v>
      </c>
      <c r="DE43" s="28">
        <f t="shared" si="7"/>
        <v>3320988</v>
      </c>
      <c r="DF43" s="6">
        <f t="shared" si="8"/>
        <v>-724285.45054736221</v>
      </c>
      <c r="DM43" s="34"/>
      <c r="DN43" s="34"/>
    </row>
    <row r="44" spans="1:118" x14ac:dyDescent="0.2">
      <c r="A44">
        <v>413</v>
      </c>
      <c r="B44" t="s">
        <v>85</v>
      </c>
      <c r="C44" t="s">
        <v>19</v>
      </c>
      <c r="D44">
        <v>8</v>
      </c>
      <c r="E44">
        <v>431</v>
      </c>
      <c r="F44">
        <v>431</v>
      </c>
      <c r="G44">
        <v>475</v>
      </c>
      <c r="H44" s="50">
        <f t="shared" si="2"/>
        <v>-44</v>
      </c>
      <c r="I44" s="4">
        <v>0.79118329466357307</v>
      </c>
      <c r="J44">
        <v>341</v>
      </c>
      <c r="K44" s="34">
        <v>198942.26</v>
      </c>
      <c r="L44" s="34">
        <v>170748.67</v>
      </c>
      <c r="M44" s="34">
        <v>0</v>
      </c>
      <c r="N44" s="34">
        <v>71961.03</v>
      </c>
      <c r="O44" s="34">
        <v>12199.05</v>
      </c>
      <c r="P44" s="34">
        <v>79024.509999999995</v>
      </c>
      <c r="Q44" s="34">
        <v>60058.83</v>
      </c>
      <c r="R44" s="34">
        <v>204749.06</v>
      </c>
      <c r="S44" s="34">
        <v>113832.45</v>
      </c>
      <c r="T44" s="34">
        <v>0</v>
      </c>
      <c r="U44" s="34">
        <v>0</v>
      </c>
      <c r="V44" s="34">
        <v>0</v>
      </c>
      <c r="W44" s="34">
        <v>0</v>
      </c>
      <c r="X44" s="34">
        <v>0</v>
      </c>
      <c r="Y44" s="34">
        <v>0</v>
      </c>
      <c r="Z44" s="34">
        <v>0</v>
      </c>
      <c r="AA44" s="34">
        <v>0</v>
      </c>
      <c r="AB44" s="34">
        <v>0</v>
      </c>
      <c r="AC44" s="34">
        <v>0</v>
      </c>
      <c r="AD44" s="34">
        <v>0</v>
      </c>
      <c r="AE44" s="34">
        <v>0</v>
      </c>
      <c r="AF44" s="34">
        <v>2574363</v>
      </c>
      <c r="AG44" s="34">
        <v>147402</v>
      </c>
      <c r="AH44" s="34">
        <v>113832.45</v>
      </c>
      <c r="AI44" s="34">
        <v>455329.78</v>
      </c>
      <c r="AJ44" s="34">
        <v>569162.23</v>
      </c>
      <c r="AK44" s="34">
        <v>455329.78</v>
      </c>
      <c r="AL44" s="34">
        <v>156665.71</v>
      </c>
      <c r="AM44" s="34">
        <v>0</v>
      </c>
      <c r="AN44" s="34">
        <v>115116.11</v>
      </c>
      <c r="AO44" s="34">
        <v>0</v>
      </c>
      <c r="AP44" s="34">
        <v>130808.7</v>
      </c>
      <c r="AQ44" s="34">
        <v>0</v>
      </c>
      <c r="AR44" s="34">
        <v>0</v>
      </c>
      <c r="AS44" s="34">
        <v>30734.76</v>
      </c>
      <c r="AT44" s="34">
        <v>0</v>
      </c>
      <c r="AU44" s="34">
        <v>10751.4</v>
      </c>
      <c r="AV44" s="34">
        <v>13600</v>
      </c>
      <c r="AW44" s="34">
        <v>13600</v>
      </c>
      <c r="AX44" s="34">
        <v>10200</v>
      </c>
      <c r="AY44" s="34">
        <v>0</v>
      </c>
      <c r="AZ44" s="34">
        <v>6800</v>
      </c>
      <c r="BA44" s="34">
        <v>0</v>
      </c>
      <c r="BB44" s="34">
        <v>6800</v>
      </c>
      <c r="BC44" s="34">
        <v>233249.09</v>
      </c>
      <c r="BD44" s="34">
        <v>3757.07</v>
      </c>
      <c r="BE44" s="34">
        <v>0</v>
      </c>
      <c r="BF44" s="34">
        <v>0</v>
      </c>
      <c r="BG44" s="34">
        <v>0</v>
      </c>
      <c r="BH44" s="34">
        <v>0</v>
      </c>
      <c r="BI44" s="34">
        <v>0</v>
      </c>
      <c r="BJ44" s="34">
        <v>0</v>
      </c>
      <c r="BK44" s="34">
        <v>0</v>
      </c>
      <c r="BL44" s="34">
        <v>0</v>
      </c>
      <c r="BM44" s="34">
        <v>0</v>
      </c>
      <c r="BN44" s="34">
        <v>0</v>
      </c>
      <c r="BO44" s="34">
        <v>0</v>
      </c>
      <c r="BP44" s="34">
        <v>0</v>
      </c>
      <c r="BQ44" s="34">
        <v>0</v>
      </c>
      <c r="BR44" s="34">
        <v>0</v>
      </c>
      <c r="BS44" s="34">
        <v>0</v>
      </c>
      <c r="BT44" s="34">
        <v>0</v>
      </c>
      <c r="BU44" s="34">
        <v>0</v>
      </c>
      <c r="BV44" s="34">
        <v>0</v>
      </c>
      <c r="BW44" s="34">
        <v>179117</v>
      </c>
      <c r="BX44" s="34">
        <v>0</v>
      </c>
      <c r="BY44" s="34">
        <v>0</v>
      </c>
      <c r="BZ44" s="34">
        <v>0</v>
      </c>
      <c r="CA44" s="34">
        <v>914733.86</v>
      </c>
      <c r="CB44" s="34">
        <v>248357.34</v>
      </c>
      <c r="CC44" s="34">
        <v>0</v>
      </c>
      <c r="CD44" s="34">
        <v>0</v>
      </c>
      <c r="CE44" s="34">
        <v>0</v>
      </c>
      <c r="CF44" s="34">
        <v>0</v>
      </c>
      <c r="CJ44" s="28">
        <f t="shared" si="3"/>
        <v>7301226.1400000015</v>
      </c>
      <c r="CK44" s="28">
        <v>113832</v>
      </c>
      <c r="CL44" s="28">
        <f t="shared" si="23"/>
        <v>227797.86666666667</v>
      </c>
      <c r="CM44" s="34">
        <f t="shared" si="20"/>
        <v>92387</v>
      </c>
      <c r="CN44" s="34">
        <f t="shared" si="4"/>
        <v>49770.765661252895</v>
      </c>
      <c r="CU44" s="28">
        <f>VLOOKUP($A44,'Gen ed tchrs'!A40:R155,18,FALSE)*CU$123</f>
        <v>2618146.35</v>
      </c>
      <c r="CV44" s="28">
        <f>'Gen ed tchrs'!Z40*CV$123/2</f>
        <v>109421.44256249999</v>
      </c>
      <c r="DB44" s="28">
        <f t="shared" si="5"/>
        <v>3211355.4248904195</v>
      </c>
      <c r="DC44" s="28">
        <f t="shared" si="6"/>
        <v>2574363</v>
      </c>
      <c r="DD44" s="28">
        <f t="shared" si="21"/>
        <v>0</v>
      </c>
      <c r="DE44" s="28">
        <f t="shared" si="7"/>
        <v>2574363</v>
      </c>
      <c r="DF44" s="6">
        <f t="shared" si="8"/>
        <v>-636992.42489041947</v>
      </c>
      <c r="DM44" s="34"/>
      <c r="DN44" s="34"/>
    </row>
    <row r="45" spans="1:118" x14ac:dyDescent="0.2">
      <c r="A45">
        <v>258</v>
      </c>
      <c r="B45" t="s">
        <v>84</v>
      </c>
      <c r="C45" t="s">
        <v>7</v>
      </c>
      <c r="D45">
        <v>3</v>
      </c>
      <c r="E45">
        <v>354</v>
      </c>
      <c r="F45">
        <v>313</v>
      </c>
      <c r="G45">
        <v>310</v>
      </c>
      <c r="H45" s="50">
        <f t="shared" si="2"/>
        <v>3</v>
      </c>
      <c r="I45" s="4">
        <v>8.4745762711864403E-2</v>
      </c>
      <c r="J45">
        <v>30</v>
      </c>
      <c r="K45" s="34">
        <v>198942.26</v>
      </c>
      <c r="L45" s="34">
        <v>0</v>
      </c>
      <c r="M45" s="34">
        <v>0</v>
      </c>
      <c r="N45" s="34">
        <v>71961.03</v>
      </c>
      <c r="O45" s="34">
        <v>5460.2</v>
      </c>
      <c r="P45" s="34">
        <v>79024.509999999995</v>
      </c>
      <c r="Q45" s="34">
        <v>60058.83</v>
      </c>
      <c r="R45" s="34">
        <v>102374.53</v>
      </c>
      <c r="S45" s="34">
        <v>113832.45</v>
      </c>
      <c r="T45" s="34">
        <v>0</v>
      </c>
      <c r="U45" s="34">
        <v>0</v>
      </c>
      <c r="V45" s="34">
        <v>227664.89</v>
      </c>
      <c r="W45" s="34">
        <v>78332.850000000006</v>
      </c>
      <c r="X45" s="34">
        <v>73467.899999999994</v>
      </c>
      <c r="Y45" s="34">
        <v>0</v>
      </c>
      <c r="Z45" s="34">
        <v>0</v>
      </c>
      <c r="AA45" s="34">
        <v>0</v>
      </c>
      <c r="AB45" s="34">
        <v>0</v>
      </c>
      <c r="AC45" s="34">
        <v>0</v>
      </c>
      <c r="AD45" s="34">
        <v>0</v>
      </c>
      <c r="AE45" s="34">
        <v>0</v>
      </c>
      <c r="AF45" s="34">
        <v>1869549</v>
      </c>
      <c r="AG45" s="34">
        <v>115050</v>
      </c>
      <c r="AH45" s="34">
        <v>113832.45</v>
      </c>
      <c r="AI45" s="34">
        <v>113832.45</v>
      </c>
      <c r="AJ45" s="34">
        <v>341497.34</v>
      </c>
      <c r="AK45" s="34">
        <v>341497.34</v>
      </c>
      <c r="AL45" s="34">
        <v>234998.56</v>
      </c>
      <c r="AM45" s="34">
        <v>0</v>
      </c>
      <c r="AN45" s="34">
        <v>0</v>
      </c>
      <c r="AO45" s="34">
        <v>0</v>
      </c>
      <c r="AP45" s="34">
        <v>80635.5</v>
      </c>
      <c r="AQ45" s="34">
        <v>0</v>
      </c>
      <c r="AR45" s="34">
        <v>398413.56</v>
      </c>
      <c r="AS45" s="34">
        <v>0</v>
      </c>
      <c r="AT45" s="34">
        <v>0</v>
      </c>
      <c r="AU45" s="34">
        <v>120057.3</v>
      </c>
      <c r="AV45" s="34">
        <v>0</v>
      </c>
      <c r="AW45" s="34">
        <v>0</v>
      </c>
      <c r="AX45" s="34">
        <v>0</v>
      </c>
      <c r="AY45" s="34">
        <v>0</v>
      </c>
      <c r="AZ45" s="34">
        <v>0</v>
      </c>
      <c r="BA45" s="34">
        <v>0</v>
      </c>
      <c r="BB45" s="34">
        <v>0</v>
      </c>
      <c r="BC45" s="34">
        <v>0</v>
      </c>
      <c r="BD45" s="34">
        <v>0</v>
      </c>
      <c r="BE45" s="34">
        <v>8850</v>
      </c>
      <c r="BF45" s="34">
        <v>0</v>
      </c>
      <c r="BG45" s="34">
        <v>0</v>
      </c>
      <c r="BH45" s="34">
        <v>0</v>
      </c>
      <c r="BI45" s="34">
        <v>0</v>
      </c>
      <c r="BJ45" s="34">
        <v>0</v>
      </c>
      <c r="BK45" s="34">
        <v>0</v>
      </c>
      <c r="BL45" s="34">
        <v>0</v>
      </c>
      <c r="BM45" s="34">
        <v>0</v>
      </c>
      <c r="BN45" s="34">
        <v>0</v>
      </c>
      <c r="BO45" s="34">
        <v>0</v>
      </c>
      <c r="BP45" s="34">
        <v>0</v>
      </c>
      <c r="BQ45" s="34">
        <v>0</v>
      </c>
      <c r="BR45" s="34">
        <v>0</v>
      </c>
      <c r="BS45" s="34">
        <v>0</v>
      </c>
      <c r="BT45" s="34">
        <v>0</v>
      </c>
      <c r="BU45" s="34">
        <v>0</v>
      </c>
      <c r="BV45" s="34">
        <v>0</v>
      </c>
      <c r="BW45" s="34">
        <v>0</v>
      </c>
      <c r="BX45" s="34">
        <v>0</v>
      </c>
      <c r="BY45" s="34">
        <v>0</v>
      </c>
      <c r="BZ45" s="34">
        <v>0</v>
      </c>
      <c r="CA45" s="34">
        <v>80475.12</v>
      </c>
      <c r="CB45" s="34">
        <v>0</v>
      </c>
      <c r="CC45" s="34">
        <v>261714.11</v>
      </c>
      <c r="CD45" s="34">
        <v>122020.05</v>
      </c>
      <c r="CE45" s="34">
        <v>72735.7</v>
      </c>
      <c r="CF45" s="34">
        <v>70024.37</v>
      </c>
      <c r="CJ45" s="28">
        <f t="shared" si="3"/>
        <v>5356302.3</v>
      </c>
      <c r="CK45" s="28">
        <v>113832</v>
      </c>
      <c r="CL45" s="28">
        <f>E45/400*CL$123</f>
        <v>140325.6</v>
      </c>
      <c r="CM45" s="34">
        <f t="shared" si="20"/>
        <v>92387</v>
      </c>
      <c r="CN45" s="34">
        <f t="shared" si="4"/>
        <v>0</v>
      </c>
      <c r="CQ45" s="28">
        <f>IF('Gen ed tchrs'!$V41&gt;37,2*113832,IF('Gen ed tchrs'!$V41&gt;25,1.5*113832,113832))</f>
        <v>113832</v>
      </c>
      <c r="CR45" s="28">
        <f>IF('Gen ed tchrs'!$V41&gt;37,2*113832,IF('Gen ed tchrs'!$V41&gt;25,1.5*113832,113832))</f>
        <v>113832</v>
      </c>
      <c r="CS45" s="28">
        <f>IF('Gen ed tchrs'!$V41&gt;39.1,3.5*113832,IF('Gen ed tchrs'!$V41&gt;33.1,3*113832,IF('Gen ed tchrs'!$V41&gt;26.1,2.5*113832,IF('Gen ed tchrs'!$V41&gt;20.1,2*113832,IF('Gen ed tchrs'!$V41&gt;13.1,1.5*113832,113832)))))</f>
        <v>170748</v>
      </c>
      <c r="CT45" s="34">
        <f>VLOOKUP($A45,'PosxSchpostCouncil 22'!$A$6:$DP$121,94,FALSE)*CT$123</f>
        <v>117499.29000000001</v>
      </c>
      <c r="CU45" s="28">
        <f>VLOOKUP($A45,'Gen ed tchrs'!A41:R156,18,FALSE)*CU$123</f>
        <v>1935151.65</v>
      </c>
      <c r="CV45" s="28">
        <f>'Gen ed tchrs'!Z41*CV$123/2</f>
        <v>76054.305656249999</v>
      </c>
      <c r="DB45" s="28">
        <f t="shared" si="5"/>
        <v>2873661.8456562501</v>
      </c>
      <c r="DC45" s="28">
        <f t="shared" si="6"/>
        <v>1869549</v>
      </c>
      <c r="DD45" s="28">
        <f t="shared" si="21"/>
        <v>526494.23</v>
      </c>
      <c r="DE45" s="28">
        <f t="shared" si="7"/>
        <v>2396043.23</v>
      </c>
      <c r="DF45" s="6">
        <f t="shared" si="8"/>
        <v>-477618.61565625016</v>
      </c>
      <c r="DM45" s="34"/>
      <c r="DN45" s="34"/>
    </row>
    <row r="46" spans="1:118" x14ac:dyDescent="0.2">
      <c r="A46">
        <v>249</v>
      </c>
      <c r="B46" t="s">
        <v>83</v>
      </c>
      <c r="C46" t="s">
        <v>7</v>
      </c>
      <c r="D46">
        <v>8</v>
      </c>
      <c r="E46">
        <v>290</v>
      </c>
      <c r="F46">
        <v>235</v>
      </c>
      <c r="G46">
        <v>250</v>
      </c>
      <c r="H46" s="50">
        <f t="shared" si="2"/>
        <v>-15</v>
      </c>
      <c r="I46" s="4">
        <v>0.91379310344827591</v>
      </c>
      <c r="J46">
        <v>265</v>
      </c>
      <c r="K46" s="34">
        <v>198942.26</v>
      </c>
      <c r="L46" s="34">
        <v>0</v>
      </c>
      <c r="M46" s="34">
        <v>0</v>
      </c>
      <c r="N46" s="34">
        <v>71961.03</v>
      </c>
      <c r="O46" s="34">
        <v>7595.1</v>
      </c>
      <c r="P46" s="34">
        <v>79024.509999999995</v>
      </c>
      <c r="Q46" s="34">
        <v>60058.83</v>
      </c>
      <c r="R46" s="34">
        <v>102374.53</v>
      </c>
      <c r="S46" s="34">
        <v>113832.45</v>
      </c>
      <c r="T46" s="34">
        <v>227664.89</v>
      </c>
      <c r="U46" s="34">
        <v>0</v>
      </c>
      <c r="V46" s="34">
        <v>227664.89</v>
      </c>
      <c r="W46" s="34">
        <v>156665.71</v>
      </c>
      <c r="X46" s="34">
        <v>98554.5</v>
      </c>
      <c r="Y46" s="34">
        <v>0</v>
      </c>
      <c r="Z46" s="34">
        <v>0</v>
      </c>
      <c r="AA46" s="34">
        <v>0</v>
      </c>
      <c r="AB46" s="34">
        <v>0</v>
      </c>
      <c r="AC46" s="34">
        <v>0</v>
      </c>
      <c r="AD46" s="34">
        <v>0</v>
      </c>
      <c r="AE46" s="34">
        <v>0</v>
      </c>
      <c r="AF46" s="34">
        <v>1403655</v>
      </c>
      <c r="AG46" s="34">
        <v>94250</v>
      </c>
      <c r="AH46" s="34">
        <v>113832.45</v>
      </c>
      <c r="AI46" s="34">
        <v>227664.89</v>
      </c>
      <c r="AJ46" s="34">
        <v>341497.34</v>
      </c>
      <c r="AK46" s="34">
        <v>113832.45</v>
      </c>
      <c r="AL46" s="34">
        <v>39166.43</v>
      </c>
      <c r="AM46" s="34">
        <v>0</v>
      </c>
      <c r="AN46" s="34">
        <v>0</v>
      </c>
      <c r="AO46" s="34">
        <v>0</v>
      </c>
      <c r="AP46" s="34">
        <v>68092.2</v>
      </c>
      <c r="AQ46" s="34">
        <v>0</v>
      </c>
      <c r="AR46" s="34">
        <v>0</v>
      </c>
      <c r="AS46" s="34">
        <v>5691.62</v>
      </c>
      <c r="AT46" s="34">
        <v>0</v>
      </c>
      <c r="AU46" s="34">
        <v>1791.9</v>
      </c>
      <c r="AV46" s="34">
        <v>20400</v>
      </c>
      <c r="AW46" s="34">
        <v>20400</v>
      </c>
      <c r="AX46" s="34">
        <v>10200</v>
      </c>
      <c r="AY46" s="34">
        <v>0</v>
      </c>
      <c r="AZ46" s="34">
        <v>20400</v>
      </c>
      <c r="BA46" s="34">
        <v>0</v>
      </c>
      <c r="BB46" s="34">
        <v>20400</v>
      </c>
      <c r="BC46" s="34">
        <v>156942.54</v>
      </c>
      <c r="BD46" s="34">
        <v>2527.96</v>
      </c>
      <c r="BE46" s="34">
        <v>0</v>
      </c>
      <c r="BF46" s="34">
        <v>0</v>
      </c>
      <c r="BG46" s="34">
        <v>0</v>
      </c>
      <c r="BH46" s="34">
        <v>0</v>
      </c>
      <c r="BI46" s="34">
        <v>0</v>
      </c>
      <c r="BJ46" s="34">
        <v>0</v>
      </c>
      <c r="BK46" s="34">
        <v>0</v>
      </c>
      <c r="BL46" s="34">
        <v>0</v>
      </c>
      <c r="BM46" s="34">
        <v>0</v>
      </c>
      <c r="BN46" s="34">
        <v>0</v>
      </c>
      <c r="BO46" s="34">
        <v>0</v>
      </c>
      <c r="BP46" s="34">
        <v>0</v>
      </c>
      <c r="BQ46" s="34">
        <v>0</v>
      </c>
      <c r="BR46" s="34">
        <v>0</v>
      </c>
      <c r="BS46" s="34">
        <v>0</v>
      </c>
      <c r="BT46" s="34">
        <v>0</v>
      </c>
      <c r="BU46" s="34">
        <v>15325</v>
      </c>
      <c r="BV46" s="34">
        <v>0</v>
      </c>
      <c r="BW46" s="34">
        <v>0</v>
      </c>
      <c r="BX46" s="34">
        <v>0</v>
      </c>
      <c r="BY46" s="34">
        <v>0</v>
      </c>
      <c r="BZ46" s="34">
        <v>0</v>
      </c>
      <c r="CA46" s="34">
        <v>710863.56</v>
      </c>
      <c r="CB46" s="34">
        <v>177995.4</v>
      </c>
      <c r="CC46" s="34">
        <v>282625.77</v>
      </c>
      <c r="CD46" s="34">
        <v>168048.84</v>
      </c>
      <c r="CE46" s="34">
        <v>238691.51</v>
      </c>
      <c r="CF46" s="34">
        <v>221930.77</v>
      </c>
      <c r="CJ46" s="28">
        <f t="shared" si="3"/>
        <v>5820564.3300000001</v>
      </c>
      <c r="CK46" s="28">
        <v>113832</v>
      </c>
      <c r="CM46" s="34">
        <f t="shared" si="20"/>
        <v>46193.5</v>
      </c>
      <c r="CN46" s="34">
        <f t="shared" si="4"/>
        <v>0</v>
      </c>
      <c r="CQ46" s="28">
        <f>IF('Gen ed tchrs'!$V42&gt;37,2*113832,IF('Gen ed tchrs'!$V42&gt;25,1.5*113832,113832))</f>
        <v>113832</v>
      </c>
      <c r="CR46" s="28">
        <f>IF('Gen ed tchrs'!$V42&gt;37,2*113832,IF('Gen ed tchrs'!$V42&gt;25,1.5*113832,113832))</f>
        <v>113832</v>
      </c>
      <c r="CS46" s="28">
        <f>IF('Gen ed tchrs'!$V42&gt;39.1,3.5*113832,IF('Gen ed tchrs'!$V42&gt;33.1,3*113832,IF('Gen ed tchrs'!$V42&gt;26.1,2.5*113832,IF('Gen ed tchrs'!$V42&gt;20.1,2*113832,IF('Gen ed tchrs'!$V42&gt;13.1,1.5*113832,113832)))))</f>
        <v>170748</v>
      </c>
      <c r="CT46" s="34">
        <f>VLOOKUP($A46,'PosxSchpostCouncil 22'!$A$6:$DP$121,94,FALSE)*CT$123</f>
        <v>78332.86</v>
      </c>
      <c r="CU46" s="28">
        <f>VLOOKUP($A46,'Gen ed tchrs'!A42:R157,18,FALSE)*CU$123</f>
        <v>1593654.3</v>
      </c>
      <c r="CV46" s="28">
        <f>'Gen ed tchrs'!Z42*CV$123/2</f>
        <v>56916.224999999999</v>
      </c>
      <c r="DB46" s="28">
        <f t="shared" si="5"/>
        <v>2287340.8850000002</v>
      </c>
      <c r="DC46" s="28">
        <f t="shared" si="6"/>
        <v>1403655</v>
      </c>
      <c r="DD46" s="28">
        <f t="shared" si="21"/>
        <v>911296.89</v>
      </c>
      <c r="DE46" s="28">
        <f t="shared" si="7"/>
        <v>2314951.89</v>
      </c>
      <c r="DF46" s="6">
        <f t="shared" si="8"/>
        <v>27611.004999999888</v>
      </c>
      <c r="DM46" s="34"/>
      <c r="DN46" s="34"/>
    </row>
    <row r="47" spans="1:118" x14ac:dyDescent="0.2">
      <c r="A47">
        <v>251</v>
      </c>
      <c r="B47" t="s">
        <v>82</v>
      </c>
      <c r="C47" t="s">
        <v>7</v>
      </c>
      <c r="D47">
        <v>7</v>
      </c>
      <c r="E47">
        <v>280</v>
      </c>
      <c r="F47">
        <v>213</v>
      </c>
      <c r="G47">
        <v>216</v>
      </c>
      <c r="H47" s="50">
        <f t="shared" si="2"/>
        <v>-3</v>
      </c>
      <c r="I47" s="4">
        <v>0.70357142857142863</v>
      </c>
      <c r="J47">
        <v>197</v>
      </c>
      <c r="K47" s="34">
        <v>198942.26</v>
      </c>
      <c r="L47" s="34">
        <v>0</v>
      </c>
      <c r="M47" s="34">
        <v>0</v>
      </c>
      <c r="N47" s="34">
        <v>71961.03</v>
      </c>
      <c r="O47" s="34">
        <v>5451</v>
      </c>
      <c r="P47" s="34">
        <v>79024.509999999995</v>
      </c>
      <c r="Q47" s="34">
        <v>60058.83</v>
      </c>
      <c r="R47" s="34">
        <v>51187.26</v>
      </c>
      <c r="S47" s="34">
        <v>113832.45</v>
      </c>
      <c r="T47" s="34">
        <v>227664.89</v>
      </c>
      <c r="U47" s="34">
        <v>0</v>
      </c>
      <c r="V47" s="34">
        <v>227664.89</v>
      </c>
      <c r="W47" s="34">
        <v>156665.71</v>
      </c>
      <c r="X47" s="34">
        <v>120057.3</v>
      </c>
      <c r="Y47" s="34">
        <v>0</v>
      </c>
      <c r="Z47" s="34">
        <v>0</v>
      </c>
      <c r="AA47" s="34">
        <v>0</v>
      </c>
      <c r="AB47" s="34">
        <v>0</v>
      </c>
      <c r="AC47" s="34">
        <v>0</v>
      </c>
      <c r="AD47" s="34">
        <v>0</v>
      </c>
      <c r="AE47" s="34">
        <v>0</v>
      </c>
      <c r="AF47" s="34">
        <v>1272249</v>
      </c>
      <c r="AG47" s="34">
        <v>91000</v>
      </c>
      <c r="AH47" s="34">
        <v>113832.45</v>
      </c>
      <c r="AI47" s="34">
        <v>113832.45</v>
      </c>
      <c r="AJ47" s="34">
        <v>341497.34</v>
      </c>
      <c r="AK47" s="34">
        <v>682994.68</v>
      </c>
      <c r="AL47" s="34">
        <v>469997.12</v>
      </c>
      <c r="AM47" s="34">
        <v>0</v>
      </c>
      <c r="AN47" s="34">
        <v>0</v>
      </c>
      <c r="AO47" s="34">
        <v>119483.41</v>
      </c>
      <c r="AP47" s="34">
        <v>121849.2</v>
      </c>
      <c r="AQ47" s="34">
        <v>0</v>
      </c>
      <c r="AR47" s="34">
        <v>0</v>
      </c>
      <c r="AS47" s="34">
        <v>30734.76</v>
      </c>
      <c r="AT47" s="34">
        <v>0</v>
      </c>
      <c r="AU47" s="34">
        <v>10751.4</v>
      </c>
      <c r="AV47" s="34">
        <v>20400</v>
      </c>
      <c r="AW47" s="34">
        <v>13600</v>
      </c>
      <c r="AX47" s="34">
        <v>10200</v>
      </c>
      <c r="AY47" s="34">
        <v>0</v>
      </c>
      <c r="AZ47" s="34">
        <v>20400</v>
      </c>
      <c r="BA47" s="34">
        <v>0</v>
      </c>
      <c r="BB47" s="34">
        <v>13600</v>
      </c>
      <c r="BC47" s="34">
        <v>151530.73000000001</v>
      </c>
      <c r="BD47" s="34">
        <v>2440.79</v>
      </c>
      <c r="BE47" s="34">
        <v>0</v>
      </c>
      <c r="BF47" s="34">
        <v>0</v>
      </c>
      <c r="BG47" s="34">
        <v>0</v>
      </c>
      <c r="BH47" s="34">
        <v>0</v>
      </c>
      <c r="BI47" s="34">
        <v>0</v>
      </c>
      <c r="BJ47" s="34">
        <v>0</v>
      </c>
      <c r="BK47" s="34">
        <v>0</v>
      </c>
      <c r="BL47" s="34">
        <v>0</v>
      </c>
      <c r="BM47" s="34">
        <v>0</v>
      </c>
      <c r="BN47" s="34">
        <v>0</v>
      </c>
      <c r="BO47" s="34">
        <v>0</v>
      </c>
      <c r="BP47" s="34">
        <v>231327</v>
      </c>
      <c r="BQ47" s="34">
        <v>0</v>
      </c>
      <c r="BR47" s="34">
        <v>0</v>
      </c>
      <c r="BS47" s="34">
        <v>0</v>
      </c>
      <c r="BT47" s="34">
        <v>0</v>
      </c>
      <c r="BU47" s="34">
        <v>0</v>
      </c>
      <c r="BV47" s="34">
        <v>0</v>
      </c>
      <c r="BW47" s="34">
        <v>0</v>
      </c>
      <c r="BX47" s="34">
        <v>0</v>
      </c>
      <c r="BY47" s="34">
        <v>0</v>
      </c>
      <c r="BZ47" s="34">
        <v>0</v>
      </c>
      <c r="CA47" s="34">
        <v>528453.29</v>
      </c>
      <c r="CB47" s="34">
        <v>101541</v>
      </c>
      <c r="CC47" s="34">
        <v>0</v>
      </c>
      <c r="CD47" s="34">
        <v>0</v>
      </c>
      <c r="CE47" s="34">
        <v>134667.71</v>
      </c>
      <c r="CF47" s="34">
        <v>0</v>
      </c>
      <c r="CJ47" s="28">
        <f t="shared" si="3"/>
        <v>5908892.4600000009</v>
      </c>
      <c r="CK47" s="28">
        <v>113832</v>
      </c>
      <c r="CM47" s="34">
        <f t="shared" si="20"/>
        <v>46193.5</v>
      </c>
      <c r="CN47" s="34">
        <f t="shared" si="4"/>
        <v>0</v>
      </c>
      <c r="CQ47" s="28">
        <f>IF('Gen ed tchrs'!$V43&gt;37,2*113832,IF('Gen ed tchrs'!$V43&gt;25,1.5*113832,113832))</f>
        <v>113832</v>
      </c>
      <c r="CR47" s="28">
        <f>IF('Gen ed tchrs'!$V43&gt;37,2*113832,IF('Gen ed tchrs'!$V43&gt;25,1.5*113832,113832))</f>
        <v>113832</v>
      </c>
      <c r="CS47" s="28">
        <f>IF('Gen ed tchrs'!$V43&gt;39.1,3.5*113832,IF('Gen ed tchrs'!$V43&gt;33.1,3*113832,IF('Gen ed tchrs'!$V43&gt;26.1,2.5*113832,IF('Gen ed tchrs'!$V43&gt;20.1,2*113832,IF('Gen ed tchrs'!$V43&gt;13.1,1.5*113832,113832)))))</f>
        <v>170748</v>
      </c>
      <c r="CT47" s="34">
        <f>VLOOKUP($A47,'PosxSchpostCouncil 22'!$A$6:$DP$121,94,FALSE)*CT$123</f>
        <v>78332.86</v>
      </c>
      <c r="CU47" s="28">
        <f>VLOOKUP($A47,'Gen ed tchrs'!A43:R158,18,FALSE)*CU$123</f>
        <v>1479821.8499999999</v>
      </c>
      <c r="CV47" s="28">
        <f>'Gen ed tchrs'!Z43*CV$123/2</f>
        <v>56916.224999999999</v>
      </c>
      <c r="DB47" s="28">
        <f t="shared" si="5"/>
        <v>2173508.4350000001</v>
      </c>
      <c r="DC47" s="28">
        <f t="shared" si="6"/>
        <v>1272249</v>
      </c>
      <c r="DD47" s="28">
        <f t="shared" si="21"/>
        <v>134667.71</v>
      </c>
      <c r="DE47" s="28">
        <f t="shared" si="7"/>
        <v>1406916.71</v>
      </c>
      <c r="DF47" s="6">
        <f t="shared" si="8"/>
        <v>-766591.72500000009</v>
      </c>
      <c r="DM47" s="34"/>
      <c r="DN47" s="34"/>
    </row>
    <row r="48" spans="1:118" x14ac:dyDescent="0.2">
      <c r="A48">
        <v>252</v>
      </c>
      <c r="B48" t="s">
        <v>81</v>
      </c>
      <c r="C48" t="s">
        <v>7</v>
      </c>
      <c r="D48">
        <v>2</v>
      </c>
      <c r="E48">
        <v>379</v>
      </c>
      <c r="F48">
        <v>341</v>
      </c>
      <c r="G48">
        <v>351</v>
      </c>
      <c r="H48" s="50">
        <f t="shared" si="2"/>
        <v>-10</v>
      </c>
      <c r="I48" s="4">
        <v>0.11345646437994723</v>
      </c>
      <c r="J48">
        <v>43</v>
      </c>
      <c r="K48" s="34">
        <v>198942.26</v>
      </c>
      <c r="L48" s="34">
        <v>0</v>
      </c>
      <c r="M48" s="34">
        <v>0</v>
      </c>
      <c r="N48" s="34">
        <v>71961.03</v>
      </c>
      <c r="O48" s="34">
        <v>5747.55</v>
      </c>
      <c r="P48" s="34">
        <v>79024.509999999995</v>
      </c>
      <c r="Q48" s="34">
        <v>60058.83</v>
      </c>
      <c r="R48" s="34">
        <v>102374.53</v>
      </c>
      <c r="S48" s="34">
        <v>113832.45</v>
      </c>
      <c r="T48" s="34">
        <v>0</v>
      </c>
      <c r="U48" s="34">
        <v>0</v>
      </c>
      <c r="V48" s="34">
        <v>227664.89</v>
      </c>
      <c r="W48" s="34">
        <v>78332.850000000006</v>
      </c>
      <c r="X48" s="34">
        <v>68092.2</v>
      </c>
      <c r="Y48" s="34">
        <v>0</v>
      </c>
      <c r="Z48" s="34">
        <v>0</v>
      </c>
      <c r="AA48" s="34">
        <v>0</v>
      </c>
      <c r="AB48" s="34">
        <v>0</v>
      </c>
      <c r="AC48" s="34">
        <v>0</v>
      </c>
      <c r="AD48" s="34">
        <v>0</v>
      </c>
      <c r="AE48" s="34">
        <v>0</v>
      </c>
      <c r="AF48" s="34">
        <v>2036793</v>
      </c>
      <c r="AG48" s="34">
        <v>123175</v>
      </c>
      <c r="AH48" s="34">
        <v>113832.45</v>
      </c>
      <c r="AI48" s="34">
        <v>113832.45</v>
      </c>
      <c r="AJ48" s="34">
        <v>341497.34</v>
      </c>
      <c r="AK48" s="34">
        <v>0</v>
      </c>
      <c r="AL48" s="34">
        <v>0</v>
      </c>
      <c r="AM48" s="34">
        <v>0</v>
      </c>
      <c r="AN48" s="34">
        <v>0</v>
      </c>
      <c r="AO48" s="34">
        <v>0</v>
      </c>
      <c r="AP48" s="34">
        <v>64508.4</v>
      </c>
      <c r="AQ48" s="34">
        <v>0</v>
      </c>
      <c r="AR48" s="34">
        <v>227664.89</v>
      </c>
      <c r="AS48" s="34">
        <v>0</v>
      </c>
      <c r="AT48" s="34">
        <v>0</v>
      </c>
      <c r="AU48" s="34">
        <v>60924.6</v>
      </c>
      <c r="AV48" s="34">
        <v>0</v>
      </c>
      <c r="AW48" s="34">
        <v>0</v>
      </c>
      <c r="AX48" s="34">
        <v>0</v>
      </c>
      <c r="AY48" s="34">
        <v>0</v>
      </c>
      <c r="AZ48" s="34">
        <v>0</v>
      </c>
      <c r="BA48" s="34">
        <v>0</v>
      </c>
      <c r="BB48" s="34">
        <v>0</v>
      </c>
      <c r="BC48" s="34">
        <v>0</v>
      </c>
      <c r="BD48" s="34">
        <v>0</v>
      </c>
      <c r="BE48" s="34">
        <v>9475</v>
      </c>
      <c r="BF48" s="34">
        <v>0</v>
      </c>
      <c r="BG48" s="34">
        <v>0</v>
      </c>
      <c r="BH48" s="34">
        <v>0</v>
      </c>
      <c r="BI48" s="34">
        <v>0</v>
      </c>
      <c r="BJ48" s="34">
        <v>0</v>
      </c>
      <c r="BK48" s="34">
        <v>0</v>
      </c>
      <c r="BL48" s="34">
        <v>0</v>
      </c>
      <c r="BM48" s="34">
        <v>0</v>
      </c>
      <c r="BN48" s="34">
        <v>0</v>
      </c>
      <c r="BO48" s="34">
        <v>0</v>
      </c>
      <c r="BP48" s="34">
        <v>0</v>
      </c>
      <c r="BQ48" s="34">
        <v>0</v>
      </c>
      <c r="BR48" s="34">
        <v>0</v>
      </c>
      <c r="BS48" s="34">
        <v>0</v>
      </c>
      <c r="BT48" s="34">
        <v>0</v>
      </c>
      <c r="BU48" s="34">
        <v>0</v>
      </c>
      <c r="BV48" s="34">
        <v>0</v>
      </c>
      <c r="BW48" s="34">
        <v>0</v>
      </c>
      <c r="BX48" s="34">
        <v>0</v>
      </c>
      <c r="BY48" s="34">
        <v>0</v>
      </c>
      <c r="BZ48" s="34">
        <v>0</v>
      </c>
      <c r="CA48" s="34">
        <v>115347.67</v>
      </c>
      <c r="CB48" s="34">
        <v>0</v>
      </c>
      <c r="CC48" s="34">
        <v>247455.27</v>
      </c>
      <c r="CD48" s="34">
        <v>278070.34000000003</v>
      </c>
      <c r="CE48" s="34">
        <v>213792.09</v>
      </c>
      <c r="CF48" s="34">
        <v>274776.21999999997</v>
      </c>
      <c r="CJ48" s="28">
        <f t="shared" si="3"/>
        <v>5227175.8199999994</v>
      </c>
      <c r="CK48" s="28">
        <v>113832</v>
      </c>
      <c r="CL48" s="28">
        <f>E48/400*CL$123</f>
        <v>150235.6</v>
      </c>
      <c r="CM48" s="34">
        <f t="shared" si="20"/>
        <v>92387</v>
      </c>
      <c r="CN48" s="34">
        <f t="shared" si="4"/>
        <v>0</v>
      </c>
      <c r="CQ48" s="28">
        <f>IF('Gen ed tchrs'!$V44&gt;37,2*113832,IF('Gen ed tchrs'!$V44&gt;25,1.5*113832,113832))</f>
        <v>113832</v>
      </c>
      <c r="CR48" s="28">
        <f>IF('Gen ed tchrs'!$V44&gt;37,2*113832,IF('Gen ed tchrs'!$V44&gt;25,1.5*113832,113832))</f>
        <v>113832</v>
      </c>
      <c r="CS48" s="28">
        <f>IF('Gen ed tchrs'!$V44&gt;39.1,3.5*113832,IF('Gen ed tchrs'!$V44&gt;33.1,3*113832,IF('Gen ed tchrs'!$V44&gt;26.1,2.5*113832,IF('Gen ed tchrs'!$V44&gt;20.1,2*113832,IF('Gen ed tchrs'!$V44&gt;13.1,1.5*113832,113832)))))</f>
        <v>170748</v>
      </c>
      <c r="CT48" s="34">
        <f>VLOOKUP($A48,'PosxSchpostCouncil 22'!$A$6:$DP$121,94,FALSE)*CT$123</f>
        <v>117499.29000000001</v>
      </c>
      <c r="CU48" s="28">
        <f>VLOOKUP($A48,'Gen ed tchrs'!A44:R159,18,FALSE)*CU$123</f>
        <v>2048984.0999999999</v>
      </c>
      <c r="CV48" s="28">
        <f>'Gen ed tchrs'!Z44*CV$123/2</f>
        <v>73386.357609375002</v>
      </c>
      <c r="DB48" s="28">
        <f t="shared" si="5"/>
        <v>2994736.3476093747</v>
      </c>
      <c r="DC48" s="28">
        <f t="shared" si="6"/>
        <v>2036793</v>
      </c>
      <c r="DD48" s="28">
        <f t="shared" si="21"/>
        <v>1014093.9199999999</v>
      </c>
      <c r="DE48" s="28">
        <f t="shared" si="7"/>
        <v>3050886.92</v>
      </c>
      <c r="DF48" s="6">
        <f t="shared" si="8"/>
        <v>56150.572390625253</v>
      </c>
      <c r="DM48" s="34"/>
      <c r="DN48" s="34"/>
    </row>
    <row r="49" spans="1:118" x14ac:dyDescent="0.2">
      <c r="A49">
        <v>1071</v>
      </c>
      <c r="B49" t="s">
        <v>80</v>
      </c>
      <c r="C49" t="s">
        <v>19</v>
      </c>
      <c r="D49">
        <v>4</v>
      </c>
      <c r="E49">
        <v>550</v>
      </c>
      <c r="F49">
        <v>550</v>
      </c>
      <c r="G49">
        <v>551</v>
      </c>
      <c r="H49" s="50">
        <f t="shared" si="2"/>
        <v>-1</v>
      </c>
      <c r="I49" s="4">
        <v>0.55454545454545456</v>
      </c>
      <c r="J49">
        <v>305</v>
      </c>
      <c r="K49" s="34">
        <v>198942.26</v>
      </c>
      <c r="L49" s="34">
        <v>170748.67</v>
      </c>
      <c r="M49" s="34">
        <v>0</v>
      </c>
      <c r="N49" s="34">
        <v>71961.03</v>
      </c>
      <c r="O49" s="34">
        <v>7456</v>
      </c>
      <c r="P49" s="34">
        <v>79024.509999999995</v>
      </c>
      <c r="Q49" s="34">
        <v>60058.83</v>
      </c>
      <c r="R49" s="34">
        <v>204749.06</v>
      </c>
      <c r="S49" s="34">
        <v>113832.45</v>
      </c>
      <c r="T49" s="34">
        <v>0</v>
      </c>
      <c r="U49" s="34">
        <v>0</v>
      </c>
      <c r="V49" s="34">
        <v>0</v>
      </c>
      <c r="W49" s="34">
        <v>0</v>
      </c>
      <c r="X49" s="34">
        <v>0</v>
      </c>
      <c r="Y49" s="34">
        <v>0</v>
      </c>
      <c r="Z49" s="34">
        <v>0</v>
      </c>
      <c r="AA49" s="34">
        <v>0</v>
      </c>
      <c r="AB49" s="34">
        <v>0</v>
      </c>
      <c r="AC49" s="34">
        <v>0</v>
      </c>
      <c r="AD49" s="34">
        <v>0</v>
      </c>
      <c r="AE49" s="34">
        <v>0</v>
      </c>
      <c r="AF49" s="34">
        <v>3285150</v>
      </c>
      <c r="AG49" s="34">
        <v>188100</v>
      </c>
      <c r="AH49" s="34">
        <v>113832.45</v>
      </c>
      <c r="AI49" s="34">
        <v>227664.89</v>
      </c>
      <c r="AJ49" s="34">
        <v>1024492.02</v>
      </c>
      <c r="AK49" s="34">
        <v>455329.78</v>
      </c>
      <c r="AL49" s="34">
        <v>234998.56</v>
      </c>
      <c r="AM49" s="34">
        <v>0</v>
      </c>
      <c r="AN49" s="34">
        <v>0</v>
      </c>
      <c r="AO49" s="34">
        <v>0</v>
      </c>
      <c r="AP49" s="34">
        <v>216819.9</v>
      </c>
      <c r="AQ49" s="34">
        <v>0</v>
      </c>
      <c r="AR49" s="34">
        <v>1024492.02</v>
      </c>
      <c r="AS49" s="34">
        <v>0</v>
      </c>
      <c r="AT49" s="34">
        <v>0</v>
      </c>
      <c r="AU49" s="34">
        <v>354796.2</v>
      </c>
      <c r="AV49" s="34">
        <v>0</v>
      </c>
      <c r="AW49" s="34">
        <v>0</v>
      </c>
      <c r="AX49" s="34">
        <v>0</v>
      </c>
      <c r="AY49" s="34">
        <v>0</v>
      </c>
      <c r="AZ49" s="34">
        <v>0</v>
      </c>
      <c r="BA49" s="34">
        <v>0</v>
      </c>
      <c r="BB49" s="34">
        <v>0</v>
      </c>
      <c r="BC49" s="34">
        <v>217338.36</v>
      </c>
      <c r="BD49" s="34">
        <v>3500.78</v>
      </c>
      <c r="BE49" s="34">
        <v>0</v>
      </c>
      <c r="BF49" s="34">
        <v>0</v>
      </c>
      <c r="BG49" s="34">
        <v>0</v>
      </c>
      <c r="BH49" s="34">
        <v>0</v>
      </c>
      <c r="BI49" s="34">
        <v>0</v>
      </c>
      <c r="BJ49" s="34">
        <v>0</v>
      </c>
      <c r="BK49" s="34">
        <v>0</v>
      </c>
      <c r="BL49" s="34">
        <v>0</v>
      </c>
      <c r="BM49" s="34">
        <v>0</v>
      </c>
      <c r="BN49" s="34">
        <v>0</v>
      </c>
      <c r="BO49" s="34">
        <v>0</v>
      </c>
      <c r="BP49" s="34">
        <v>0</v>
      </c>
      <c r="BQ49" s="34">
        <v>0</v>
      </c>
      <c r="BR49" s="34">
        <v>0</v>
      </c>
      <c r="BS49" s="34">
        <v>0</v>
      </c>
      <c r="BT49" s="34">
        <v>0</v>
      </c>
      <c r="BU49" s="34">
        <v>0</v>
      </c>
      <c r="BV49" s="34">
        <v>0</v>
      </c>
      <c r="BW49" s="34">
        <v>0</v>
      </c>
      <c r="BX49" s="34">
        <v>0</v>
      </c>
      <c r="BY49" s="34">
        <v>0</v>
      </c>
      <c r="BZ49" s="34">
        <v>0</v>
      </c>
      <c r="CA49" s="34">
        <v>818163.72</v>
      </c>
      <c r="CB49" s="34">
        <v>101541</v>
      </c>
      <c r="CC49" s="34">
        <v>0</v>
      </c>
      <c r="CD49" s="34">
        <v>0</v>
      </c>
      <c r="CE49" s="34">
        <v>0</v>
      </c>
      <c r="CF49" s="34">
        <v>0</v>
      </c>
      <c r="CJ49" s="28">
        <f t="shared" si="3"/>
        <v>9172992.4900000002</v>
      </c>
      <c r="CK49" s="28">
        <v>113832</v>
      </c>
      <c r="CL49" s="28">
        <f>E49/300*CL$123</f>
        <v>290693.33333333331</v>
      </c>
      <c r="CM49" s="34">
        <f t="shared" si="20"/>
        <v>92387</v>
      </c>
      <c r="CN49" s="34">
        <f t="shared" si="4"/>
        <v>39002.181818181816</v>
      </c>
      <c r="CU49" s="28">
        <f>VLOOKUP($A49,'Gen ed tchrs'!A45:R160,18,FALSE)*CU$123</f>
        <v>3301141.05</v>
      </c>
      <c r="CV49" s="28">
        <f>'Gen ed tchrs'!Z45*CV$123/2</f>
        <v>92488.865624999991</v>
      </c>
      <c r="DB49" s="28">
        <f t="shared" si="5"/>
        <v>3929544.430776515</v>
      </c>
      <c r="DC49" s="28">
        <f t="shared" si="6"/>
        <v>3285150</v>
      </c>
      <c r="DD49" s="28">
        <f t="shared" si="21"/>
        <v>0</v>
      </c>
      <c r="DE49" s="28">
        <f t="shared" si="7"/>
        <v>3285150</v>
      </c>
      <c r="DF49" s="6">
        <f t="shared" si="8"/>
        <v>-644394.43077651504</v>
      </c>
      <c r="DM49" s="34"/>
      <c r="DN49" s="34"/>
    </row>
    <row r="50" spans="1:118" x14ac:dyDescent="0.2">
      <c r="A50">
        <v>339</v>
      </c>
      <c r="B50" t="s">
        <v>79</v>
      </c>
      <c r="C50" t="s">
        <v>7</v>
      </c>
      <c r="D50">
        <v>6</v>
      </c>
      <c r="E50">
        <v>431</v>
      </c>
      <c r="F50">
        <v>325</v>
      </c>
      <c r="G50">
        <v>333</v>
      </c>
      <c r="H50" s="50">
        <f t="shared" si="2"/>
        <v>-8</v>
      </c>
      <c r="I50" s="4">
        <v>0.54988399071925753</v>
      </c>
      <c r="J50">
        <v>237</v>
      </c>
      <c r="K50" s="34">
        <v>198942.26</v>
      </c>
      <c r="L50" s="34">
        <v>0</v>
      </c>
      <c r="M50" s="34">
        <v>0</v>
      </c>
      <c r="N50" s="34">
        <v>71961.03</v>
      </c>
      <c r="O50" s="34">
        <v>7808.3</v>
      </c>
      <c r="P50" s="34">
        <v>79024.509999999995</v>
      </c>
      <c r="Q50" s="34">
        <v>60058.83</v>
      </c>
      <c r="R50" s="34">
        <v>153561.79</v>
      </c>
      <c r="S50" s="34">
        <v>113832.45</v>
      </c>
      <c r="T50" s="34">
        <v>341497.34</v>
      </c>
      <c r="U50" s="34">
        <v>113832.45</v>
      </c>
      <c r="V50" s="34">
        <v>341497.34</v>
      </c>
      <c r="W50" s="34">
        <v>274164.99</v>
      </c>
      <c r="X50" s="34">
        <v>189941.4</v>
      </c>
      <c r="Y50" s="34">
        <v>0</v>
      </c>
      <c r="Z50" s="34">
        <v>0</v>
      </c>
      <c r="AA50" s="34">
        <v>0</v>
      </c>
      <c r="AB50" s="34">
        <v>0</v>
      </c>
      <c r="AC50" s="34">
        <v>0</v>
      </c>
      <c r="AD50" s="34">
        <v>0</v>
      </c>
      <c r="AE50" s="34">
        <v>0</v>
      </c>
      <c r="AF50" s="34">
        <v>1941225</v>
      </c>
      <c r="AG50" s="34">
        <v>140075</v>
      </c>
      <c r="AH50" s="34">
        <v>113832.45</v>
      </c>
      <c r="AI50" s="34">
        <v>227664.89</v>
      </c>
      <c r="AJ50" s="34">
        <v>569162.23</v>
      </c>
      <c r="AK50" s="34">
        <v>569162.23</v>
      </c>
      <c r="AL50" s="34">
        <v>234998.56</v>
      </c>
      <c r="AM50" s="34">
        <v>0</v>
      </c>
      <c r="AN50" s="34">
        <v>0</v>
      </c>
      <c r="AO50" s="34">
        <v>0</v>
      </c>
      <c r="AP50" s="34">
        <v>168438.6</v>
      </c>
      <c r="AQ50" s="34">
        <v>0</v>
      </c>
      <c r="AR50" s="34">
        <v>113832.45</v>
      </c>
      <c r="AS50" s="34">
        <v>0</v>
      </c>
      <c r="AT50" s="34">
        <v>0</v>
      </c>
      <c r="AU50" s="34">
        <v>30462.3</v>
      </c>
      <c r="AV50" s="34">
        <v>20400</v>
      </c>
      <c r="AW50" s="34">
        <v>13600</v>
      </c>
      <c r="AX50" s="34">
        <v>0</v>
      </c>
      <c r="AY50" s="34">
        <v>0</v>
      </c>
      <c r="AZ50" s="34">
        <v>20400</v>
      </c>
      <c r="BA50" s="34">
        <v>10200</v>
      </c>
      <c r="BB50" s="34">
        <v>13600</v>
      </c>
      <c r="BC50" s="34">
        <v>195691.11</v>
      </c>
      <c r="BD50" s="34">
        <v>3152.1</v>
      </c>
      <c r="BE50" s="34">
        <v>0</v>
      </c>
      <c r="BF50" s="34">
        <v>0</v>
      </c>
      <c r="BG50" s="34">
        <v>0</v>
      </c>
      <c r="BH50" s="34">
        <v>0</v>
      </c>
      <c r="BI50" s="34">
        <v>0</v>
      </c>
      <c r="BJ50" s="34">
        <v>0</v>
      </c>
      <c r="BK50" s="34">
        <v>0</v>
      </c>
      <c r="BL50" s="34">
        <v>0</v>
      </c>
      <c r="BM50" s="34">
        <v>0</v>
      </c>
      <c r="BN50" s="34">
        <v>0</v>
      </c>
      <c r="BO50" s="34">
        <v>0</v>
      </c>
      <c r="BP50" s="34">
        <v>0</v>
      </c>
      <c r="BQ50" s="34">
        <v>0</v>
      </c>
      <c r="BR50" s="34">
        <v>0</v>
      </c>
      <c r="BS50" s="34">
        <v>0</v>
      </c>
      <c r="BT50" s="34">
        <v>0</v>
      </c>
      <c r="BU50" s="34">
        <v>0</v>
      </c>
      <c r="BV50" s="34">
        <v>0</v>
      </c>
      <c r="BW50" s="34">
        <v>0</v>
      </c>
      <c r="BX50" s="34">
        <v>0</v>
      </c>
      <c r="BY50" s="34">
        <v>0</v>
      </c>
      <c r="BZ50" s="34">
        <v>0</v>
      </c>
      <c r="CA50" s="34">
        <v>635753.44999999995</v>
      </c>
      <c r="CB50" s="34">
        <v>77171.16</v>
      </c>
      <c r="CC50" s="34">
        <v>0</v>
      </c>
      <c r="CD50" s="34">
        <v>0</v>
      </c>
      <c r="CE50" s="34">
        <v>252347.88</v>
      </c>
      <c r="CF50" s="34">
        <v>0</v>
      </c>
      <c r="CJ50" s="28">
        <f t="shared" si="3"/>
        <v>7297292.0999999996</v>
      </c>
      <c r="CK50" s="28">
        <v>113832</v>
      </c>
      <c r="CL50" s="28">
        <f t="shared" ref="CL50:CL51" si="24">E50/400*CL$123</f>
        <v>170848.4</v>
      </c>
      <c r="CM50" s="34">
        <f t="shared" si="20"/>
        <v>92387</v>
      </c>
      <c r="CN50" s="34">
        <f t="shared" si="4"/>
        <v>49770.765661252895</v>
      </c>
      <c r="CQ50" s="28">
        <f>IF('Gen ed tchrs'!$V46&gt;37,2*113832,IF('Gen ed tchrs'!$V46&gt;25,1.5*113832,113832))</f>
        <v>170748</v>
      </c>
      <c r="CR50" s="28">
        <f>IF('Gen ed tchrs'!$V46&gt;37,2*113832,IF('Gen ed tchrs'!$V46&gt;25,1.5*113832,113832))</f>
        <v>170748</v>
      </c>
      <c r="CS50" s="28">
        <f>IF('Gen ed tchrs'!$V46&gt;39.1,3.5*113832,IF('Gen ed tchrs'!$V46&gt;33.1,3*113832,IF('Gen ed tchrs'!$V46&gt;26.1,2.5*113832,IF('Gen ed tchrs'!$V46&gt;20.1,2*113832,IF('Gen ed tchrs'!$V46&gt;13.1,1.5*113832,113832)))))</f>
        <v>227664</v>
      </c>
      <c r="CT50" s="34">
        <f>VLOOKUP($A50,'PosxSchpostCouncil 22'!$A$6:$DP$121,94,FALSE)*CT$123</f>
        <v>117499.29000000001</v>
      </c>
      <c r="CU50" s="28">
        <f>VLOOKUP($A50,'Gen ed tchrs'!A46:R161,18,FALSE)*CU$123</f>
        <v>2048984.0999999999</v>
      </c>
      <c r="CV50" s="28">
        <f>'Gen ed tchrs'!Z46*CV$123/2</f>
        <v>67837.025671875002</v>
      </c>
      <c r="DB50" s="28">
        <f t="shared" si="5"/>
        <v>3230318.5813331278</v>
      </c>
      <c r="DC50" s="28">
        <f t="shared" si="6"/>
        <v>1941225</v>
      </c>
      <c r="DD50" s="28">
        <f t="shared" si="21"/>
        <v>252347.88</v>
      </c>
      <c r="DE50" s="28">
        <f t="shared" si="7"/>
        <v>2193572.88</v>
      </c>
      <c r="DF50" s="6">
        <f t="shared" si="8"/>
        <v>-1036745.7013331279</v>
      </c>
      <c r="DM50" s="34"/>
      <c r="DN50" s="34"/>
    </row>
    <row r="51" spans="1:118" x14ac:dyDescent="0.2">
      <c r="A51">
        <v>254</v>
      </c>
      <c r="B51" t="s">
        <v>78</v>
      </c>
      <c r="C51" t="s">
        <v>7</v>
      </c>
      <c r="D51">
        <v>3</v>
      </c>
      <c r="E51">
        <v>678</v>
      </c>
      <c r="F51">
        <v>600</v>
      </c>
      <c r="G51">
        <v>660</v>
      </c>
      <c r="H51" s="50">
        <f t="shared" si="2"/>
        <v>-60</v>
      </c>
      <c r="I51" s="4">
        <v>2.0648967551622419E-2</v>
      </c>
      <c r="J51">
        <v>14</v>
      </c>
      <c r="K51" s="34">
        <v>198942.26</v>
      </c>
      <c r="L51" s="34">
        <v>0</v>
      </c>
      <c r="M51" s="34">
        <v>0</v>
      </c>
      <c r="N51" s="34">
        <v>71961.03</v>
      </c>
      <c r="O51" s="34">
        <v>7260</v>
      </c>
      <c r="P51" s="34">
        <v>79024.509999999995</v>
      </c>
      <c r="Q51" s="34">
        <v>60058.83</v>
      </c>
      <c r="R51" s="34">
        <v>153561.79</v>
      </c>
      <c r="S51" s="34">
        <v>113832.45</v>
      </c>
      <c r="T51" s="34">
        <v>0</v>
      </c>
      <c r="U51" s="34">
        <v>0</v>
      </c>
      <c r="V51" s="34">
        <v>455329.78</v>
      </c>
      <c r="W51" s="34">
        <v>156665.71</v>
      </c>
      <c r="X51" s="34">
        <v>139768.20000000001</v>
      </c>
      <c r="Y51" s="34">
        <v>0</v>
      </c>
      <c r="Z51" s="34">
        <v>0</v>
      </c>
      <c r="AA51" s="34">
        <v>0</v>
      </c>
      <c r="AB51" s="34">
        <v>0</v>
      </c>
      <c r="AC51" s="34">
        <v>0</v>
      </c>
      <c r="AD51" s="34">
        <v>0</v>
      </c>
      <c r="AE51" s="34">
        <v>0</v>
      </c>
      <c r="AF51" s="34">
        <v>3583800</v>
      </c>
      <c r="AG51" s="34">
        <v>220350</v>
      </c>
      <c r="AH51" s="34">
        <v>113832.45</v>
      </c>
      <c r="AI51" s="34">
        <v>113832.45</v>
      </c>
      <c r="AJ51" s="34">
        <v>569162.23</v>
      </c>
      <c r="AK51" s="34">
        <v>0</v>
      </c>
      <c r="AL51" s="34">
        <v>0</v>
      </c>
      <c r="AM51" s="34">
        <v>0</v>
      </c>
      <c r="AN51" s="34">
        <v>0</v>
      </c>
      <c r="AO51" s="34">
        <v>0</v>
      </c>
      <c r="AP51" s="34">
        <v>98554.5</v>
      </c>
      <c r="AQ51" s="34">
        <v>0</v>
      </c>
      <c r="AR51" s="34">
        <v>113832.45</v>
      </c>
      <c r="AS51" s="34">
        <v>0</v>
      </c>
      <c r="AT51" s="34">
        <v>0</v>
      </c>
      <c r="AU51" s="34">
        <v>30462.3</v>
      </c>
      <c r="AV51" s="34">
        <v>0</v>
      </c>
      <c r="AW51" s="34">
        <v>0</v>
      </c>
      <c r="AX51" s="34">
        <v>0</v>
      </c>
      <c r="AY51" s="34">
        <v>0</v>
      </c>
      <c r="AZ51" s="34">
        <v>0</v>
      </c>
      <c r="BA51" s="34">
        <v>0</v>
      </c>
      <c r="BB51" s="34">
        <v>0</v>
      </c>
      <c r="BC51" s="34">
        <v>0</v>
      </c>
      <c r="BD51" s="34">
        <v>0</v>
      </c>
      <c r="BE51" s="34">
        <v>16950</v>
      </c>
      <c r="BF51" s="34">
        <v>0</v>
      </c>
      <c r="BG51" s="34">
        <v>0</v>
      </c>
      <c r="BH51" s="34">
        <v>0</v>
      </c>
      <c r="BI51" s="34">
        <v>0</v>
      </c>
      <c r="BJ51" s="34">
        <v>0</v>
      </c>
      <c r="BK51" s="34">
        <v>0</v>
      </c>
      <c r="BL51" s="34">
        <v>0</v>
      </c>
      <c r="BM51" s="34">
        <v>0</v>
      </c>
      <c r="BN51" s="34">
        <v>0</v>
      </c>
      <c r="BO51" s="34">
        <v>0</v>
      </c>
      <c r="BP51" s="34">
        <v>0</v>
      </c>
      <c r="BQ51" s="34">
        <v>0</v>
      </c>
      <c r="BR51" s="34">
        <v>0</v>
      </c>
      <c r="BS51" s="34">
        <v>0</v>
      </c>
      <c r="BT51" s="34">
        <v>0</v>
      </c>
      <c r="BU51" s="34">
        <v>0</v>
      </c>
      <c r="BV51" s="34">
        <v>0</v>
      </c>
      <c r="BW51" s="34">
        <v>0</v>
      </c>
      <c r="BX51" s="34">
        <v>0</v>
      </c>
      <c r="BY51" s="34">
        <v>0</v>
      </c>
      <c r="BZ51" s="34">
        <v>0</v>
      </c>
      <c r="CA51" s="34">
        <v>37555.06</v>
      </c>
      <c r="CB51" s="34">
        <v>0</v>
      </c>
      <c r="CC51" s="34">
        <v>392033.87</v>
      </c>
      <c r="CD51" s="34">
        <v>290737.96000000002</v>
      </c>
      <c r="CE51" s="34">
        <v>59158.239999999998</v>
      </c>
      <c r="CF51" s="34">
        <v>1054749.3799999999</v>
      </c>
      <c r="CJ51" s="28">
        <f t="shared" si="3"/>
        <v>8131415.4499999993</v>
      </c>
      <c r="CK51" s="28">
        <v>113832</v>
      </c>
      <c r="CL51" s="28">
        <f t="shared" si="24"/>
        <v>268759.2</v>
      </c>
      <c r="CM51" s="34">
        <f t="shared" si="20"/>
        <v>92387</v>
      </c>
      <c r="CN51" s="34">
        <f t="shared" si="4"/>
        <v>31638.938053097343</v>
      </c>
      <c r="CQ51" s="28">
        <f>IF('Gen ed tchrs'!$V47&gt;37,2*113832,IF('Gen ed tchrs'!$V47&gt;25,1.5*113832,113832))</f>
        <v>170748</v>
      </c>
      <c r="CR51" s="28">
        <f>IF('Gen ed tchrs'!$V47&gt;37,2*113832,IF('Gen ed tchrs'!$V47&gt;25,1.5*113832,113832))</f>
        <v>170748</v>
      </c>
      <c r="CS51" s="28">
        <f>IF('Gen ed tchrs'!$V47&gt;39.1,3.5*113832,IF('Gen ed tchrs'!$V47&gt;33.1,3*113832,IF('Gen ed tchrs'!$V47&gt;26.1,2.5*113832,IF('Gen ed tchrs'!$V47&gt;20.1,2*113832,IF('Gen ed tchrs'!$V47&gt;13.1,1.5*113832,113832)))))</f>
        <v>341496</v>
      </c>
      <c r="CT51" s="34">
        <f>VLOOKUP($A51,'PosxSchpostCouncil 22'!$A$6:$DP$121,94,FALSE)*CT$123</f>
        <v>195832.15</v>
      </c>
      <c r="CU51" s="28">
        <f>VLOOKUP($A51,'Gen ed tchrs'!A47:R162,18,FALSE)*CU$123</f>
        <v>3414973.5</v>
      </c>
      <c r="CV51" s="28">
        <f>'Gen ed tchrs'!Z47*CV$123/2</f>
        <v>98393.923968749979</v>
      </c>
      <c r="DB51" s="28">
        <f t="shared" si="5"/>
        <v>4898808.7120218473</v>
      </c>
      <c r="DC51" s="28">
        <f t="shared" si="6"/>
        <v>3583800</v>
      </c>
      <c r="DD51" s="28">
        <f t="shared" si="21"/>
        <v>1796679.45</v>
      </c>
      <c r="DE51" s="28">
        <f t="shared" si="7"/>
        <v>5380479.4500000002</v>
      </c>
      <c r="DF51" s="6">
        <f t="shared" si="8"/>
        <v>481670.73797815293</v>
      </c>
      <c r="DM51" s="34"/>
      <c r="DN51" s="34"/>
    </row>
    <row r="52" spans="1:118" x14ac:dyDescent="0.2">
      <c r="A52">
        <v>433</v>
      </c>
      <c r="B52" t="s">
        <v>77</v>
      </c>
      <c r="C52" t="s">
        <v>19</v>
      </c>
      <c r="D52">
        <v>6</v>
      </c>
      <c r="E52">
        <v>389</v>
      </c>
      <c r="F52">
        <v>389</v>
      </c>
      <c r="G52">
        <v>389</v>
      </c>
      <c r="H52" s="50">
        <f t="shared" si="2"/>
        <v>0</v>
      </c>
      <c r="I52" s="4">
        <v>0.54755784061696655</v>
      </c>
      <c r="J52">
        <v>213</v>
      </c>
      <c r="K52" s="34">
        <v>198942.26</v>
      </c>
      <c r="L52" s="34">
        <v>113832.45</v>
      </c>
      <c r="M52" s="34">
        <v>0</v>
      </c>
      <c r="N52" s="34">
        <v>71961.03</v>
      </c>
      <c r="O52" s="34">
        <v>6716.6</v>
      </c>
      <c r="P52" s="34">
        <v>79024.509999999995</v>
      </c>
      <c r="Q52" s="34">
        <v>60058.83</v>
      </c>
      <c r="R52" s="34">
        <v>102374.53</v>
      </c>
      <c r="S52" s="34">
        <v>113832.45</v>
      </c>
      <c r="T52" s="34">
        <v>0</v>
      </c>
      <c r="U52" s="34">
        <v>0</v>
      </c>
      <c r="V52" s="34">
        <v>0</v>
      </c>
      <c r="W52" s="34">
        <v>0</v>
      </c>
      <c r="X52" s="34">
        <v>0</v>
      </c>
      <c r="Y52" s="34">
        <v>0</v>
      </c>
      <c r="Z52" s="34">
        <v>0</v>
      </c>
      <c r="AA52" s="34">
        <v>0</v>
      </c>
      <c r="AB52" s="34">
        <v>0</v>
      </c>
      <c r="AC52" s="34">
        <v>0</v>
      </c>
      <c r="AD52" s="34">
        <v>0</v>
      </c>
      <c r="AE52" s="34">
        <v>0</v>
      </c>
      <c r="AF52" s="34">
        <v>2323497</v>
      </c>
      <c r="AG52" s="34">
        <v>133038</v>
      </c>
      <c r="AH52" s="34">
        <v>113832.45</v>
      </c>
      <c r="AI52" s="34">
        <v>341497.34</v>
      </c>
      <c r="AJ52" s="34">
        <v>682994.68</v>
      </c>
      <c r="AK52" s="34">
        <v>341497.34</v>
      </c>
      <c r="AL52" s="34">
        <v>117499.28</v>
      </c>
      <c r="AM52" s="34">
        <v>0</v>
      </c>
      <c r="AN52" s="34">
        <v>57558.06</v>
      </c>
      <c r="AO52" s="34">
        <v>0</v>
      </c>
      <c r="AP52" s="34">
        <v>175606.2</v>
      </c>
      <c r="AQ52" s="34">
        <v>0</v>
      </c>
      <c r="AR52" s="34">
        <v>113832.45</v>
      </c>
      <c r="AS52" s="34">
        <v>0</v>
      </c>
      <c r="AT52" s="34">
        <v>0</v>
      </c>
      <c r="AU52" s="34">
        <v>19710.900000000001</v>
      </c>
      <c r="AV52" s="34">
        <v>13600</v>
      </c>
      <c r="AW52" s="34">
        <v>13600</v>
      </c>
      <c r="AX52" s="34">
        <v>10200</v>
      </c>
      <c r="AY52" s="34">
        <v>0</v>
      </c>
      <c r="AZ52" s="34">
        <v>6800</v>
      </c>
      <c r="BA52" s="34">
        <v>0</v>
      </c>
      <c r="BB52" s="34">
        <v>6800</v>
      </c>
      <c r="BC52" s="34">
        <v>160189.63</v>
      </c>
      <c r="BD52" s="34">
        <v>2580.2600000000002</v>
      </c>
      <c r="BE52" s="34">
        <v>0</v>
      </c>
      <c r="BF52" s="34">
        <v>0</v>
      </c>
      <c r="BG52" s="34">
        <v>0</v>
      </c>
      <c r="BH52" s="34">
        <v>0</v>
      </c>
      <c r="BI52" s="34">
        <v>0</v>
      </c>
      <c r="BJ52" s="34">
        <v>0</v>
      </c>
      <c r="BK52" s="34">
        <v>0</v>
      </c>
      <c r="BL52" s="34">
        <v>0</v>
      </c>
      <c r="BM52" s="34">
        <v>0</v>
      </c>
      <c r="BN52" s="34">
        <v>0</v>
      </c>
      <c r="BO52" s="34">
        <v>0</v>
      </c>
      <c r="BP52" s="34">
        <v>0</v>
      </c>
      <c r="BQ52" s="34">
        <v>0</v>
      </c>
      <c r="BR52" s="34">
        <v>0</v>
      </c>
      <c r="BS52" s="34">
        <v>0</v>
      </c>
      <c r="BT52" s="34">
        <v>0</v>
      </c>
      <c r="BU52" s="34">
        <v>0</v>
      </c>
      <c r="BV52" s="34">
        <v>0</v>
      </c>
      <c r="BW52" s="34">
        <v>55921</v>
      </c>
      <c r="BX52" s="34">
        <v>0</v>
      </c>
      <c r="BY52" s="34">
        <v>0</v>
      </c>
      <c r="BZ52" s="34">
        <v>0</v>
      </c>
      <c r="CA52" s="34">
        <v>571373.35</v>
      </c>
      <c r="CB52" s="34">
        <v>68570.039999999994</v>
      </c>
      <c r="CC52" s="34">
        <v>0</v>
      </c>
      <c r="CD52" s="34">
        <v>159980.04</v>
      </c>
      <c r="CE52" s="34">
        <v>0</v>
      </c>
      <c r="CF52" s="34">
        <v>0</v>
      </c>
      <c r="CJ52" s="28">
        <f t="shared" si="3"/>
        <v>6236920.6799999997</v>
      </c>
      <c r="CK52" s="28">
        <v>113832</v>
      </c>
      <c r="CL52" s="28">
        <f t="shared" ref="CL52:CL54" si="25">E52/300*CL$123</f>
        <v>205599.46666666667</v>
      </c>
      <c r="CM52" s="34">
        <f t="shared" si="20"/>
        <v>92387</v>
      </c>
      <c r="CN52" s="34">
        <f t="shared" si="4"/>
        <v>0</v>
      </c>
      <c r="CU52" s="28">
        <f>VLOOKUP($A52,'Gen ed tchrs'!A48:R163,18,FALSE)*CU$123</f>
        <v>2390481.4499999997</v>
      </c>
      <c r="CV52" s="28">
        <f>'Gen ed tchrs'!Z48*CV$123/2</f>
        <v>115397.64618749999</v>
      </c>
      <c r="DB52" s="28">
        <f t="shared" si="5"/>
        <v>2917697.5628541666</v>
      </c>
      <c r="DC52" s="28">
        <f t="shared" si="6"/>
        <v>2323497</v>
      </c>
      <c r="DD52" s="28">
        <f t="shared" si="21"/>
        <v>159980.04</v>
      </c>
      <c r="DE52" s="28">
        <f t="shared" si="7"/>
        <v>2483477.04</v>
      </c>
      <c r="DF52" s="6">
        <f t="shared" si="8"/>
        <v>-434220.52285416657</v>
      </c>
      <c r="DM52" s="34"/>
      <c r="DN52" s="34"/>
    </row>
    <row r="53" spans="1:118" x14ac:dyDescent="0.2">
      <c r="A53">
        <v>416</v>
      </c>
      <c r="B53" t="s">
        <v>76</v>
      </c>
      <c r="C53" t="s">
        <v>19</v>
      </c>
      <c r="D53">
        <v>8</v>
      </c>
      <c r="E53">
        <v>332</v>
      </c>
      <c r="F53">
        <v>332</v>
      </c>
      <c r="G53">
        <v>371</v>
      </c>
      <c r="H53" s="50">
        <f t="shared" si="2"/>
        <v>-39</v>
      </c>
      <c r="I53" s="4">
        <v>0.81927710843373491</v>
      </c>
      <c r="J53">
        <v>272</v>
      </c>
      <c r="K53" s="34">
        <v>198942.26</v>
      </c>
      <c r="L53" s="34">
        <v>113832.45</v>
      </c>
      <c r="M53" s="34">
        <v>0</v>
      </c>
      <c r="N53" s="34">
        <v>71961.03</v>
      </c>
      <c r="O53" s="34">
        <v>11636.45</v>
      </c>
      <c r="P53" s="34">
        <v>79024.509999999995</v>
      </c>
      <c r="Q53" s="34">
        <v>60058.83</v>
      </c>
      <c r="R53" s="34">
        <v>204749.06</v>
      </c>
      <c r="S53" s="34">
        <v>113832.45</v>
      </c>
      <c r="T53" s="34">
        <v>0</v>
      </c>
      <c r="U53" s="34">
        <v>0</v>
      </c>
      <c r="V53" s="34">
        <v>0</v>
      </c>
      <c r="W53" s="34">
        <v>0</v>
      </c>
      <c r="X53" s="34">
        <v>0</v>
      </c>
      <c r="Y53" s="34">
        <v>0</v>
      </c>
      <c r="Z53" s="34">
        <v>0</v>
      </c>
      <c r="AA53" s="34">
        <v>0</v>
      </c>
      <c r="AB53" s="34">
        <v>0</v>
      </c>
      <c r="AC53" s="34">
        <v>0</v>
      </c>
      <c r="AD53" s="34">
        <v>0</v>
      </c>
      <c r="AE53" s="34">
        <v>0</v>
      </c>
      <c r="AF53" s="34">
        <v>1983036</v>
      </c>
      <c r="AG53" s="34">
        <v>113544</v>
      </c>
      <c r="AH53" s="34">
        <v>113832.45</v>
      </c>
      <c r="AI53" s="34">
        <v>341497.34</v>
      </c>
      <c r="AJ53" s="34">
        <v>682994.68</v>
      </c>
      <c r="AK53" s="34">
        <v>455329.78</v>
      </c>
      <c r="AL53" s="34">
        <v>234998.56</v>
      </c>
      <c r="AM53" s="34">
        <v>0</v>
      </c>
      <c r="AN53" s="34">
        <v>0</v>
      </c>
      <c r="AO53" s="34">
        <v>0</v>
      </c>
      <c r="AP53" s="34">
        <v>157687.20000000001</v>
      </c>
      <c r="AQ53" s="34">
        <v>0</v>
      </c>
      <c r="AR53" s="34">
        <v>0</v>
      </c>
      <c r="AS53" s="34">
        <v>5691.62</v>
      </c>
      <c r="AT53" s="34">
        <v>0</v>
      </c>
      <c r="AU53" s="34">
        <v>1791.9</v>
      </c>
      <c r="AV53" s="34">
        <v>0</v>
      </c>
      <c r="AW53" s="34">
        <v>0</v>
      </c>
      <c r="AX53" s="34">
        <v>0</v>
      </c>
      <c r="AY53" s="34">
        <v>0</v>
      </c>
      <c r="AZ53" s="34">
        <v>0</v>
      </c>
      <c r="BA53" s="34">
        <v>0</v>
      </c>
      <c r="BB53" s="34">
        <v>0</v>
      </c>
      <c r="BC53" s="34">
        <v>179672.15</v>
      </c>
      <c r="BD53" s="34">
        <v>2894.07</v>
      </c>
      <c r="BE53" s="34">
        <v>0</v>
      </c>
      <c r="BF53" s="34">
        <v>0</v>
      </c>
      <c r="BG53" s="34">
        <v>0</v>
      </c>
      <c r="BH53" s="34">
        <v>0</v>
      </c>
      <c r="BI53" s="34">
        <v>0</v>
      </c>
      <c r="BJ53" s="34">
        <v>0</v>
      </c>
      <c r="BK53" s="34">
        <v>0</v>
      </c>
      <c r="BL53" s="34">
        <v>0</v>
      </c>
      <c r="BM53" s="34">
        <v>0</v>
      </c>
      <c r="BN53" s="34">
        <v>0</v>
      </c>
      <c r="BO53" s="34">
        <v>0</v>
      </c>
      <c r="BP53" s="34">
        <v>0</v>
      </c>
      <c r="BQ53" s="34">
        <v>0</v>
      </c>
      <c r="BR53" s="34">
        <v>0</v>
      </c>
      <c r="BS53" s="34">
        <v>0</v>
      </c>
      <c r="BT53" s="34">
        <v>0</v>
      </c>
      <c r="BU53" s="34">
        <v>0</v>
      </c>
      <c r="BV53" s="34">
        <v>0</v>
      </c>
      <c r="BW53" s="34">
        <v>0</v>
      </c>
      <c r="BX53" s="34">
        <v>0</v>
      </c>
      <c r="BY53" s="34">
        <v>0</v>
      </c>
      <c r="BZ53" s="34">
        <v>0</v>
      </c>
      <c r="CA53" s="34">
        <v>729641.09</v>
      </c>
      <c r="CB53" s="34">
        <v>213594.48</v>
      </c>
      <c r="CC53" s="34">
        <v>46272.73</v>
      </c>
      <c r="CD53" s="34">
        <v>73930.759999999995</v>
      </c>
      <c r="CE53" s="34">
        <v>0</v>
      </c>
      <c r="CF53" s="34">
        <v>0</v>
      </c>
      <c r="CJ53" s="28">
        <f t="shared" si="3"/>
        <v>6190445.8500000015</v>
      </c>
      <c r="CK53" s="28">
        <v>113832</v>
      </c>
      <c r="CL53" s="28">
        <f t="shared" si="25"/>
        <v>175473.06666666668</v>
      </c>
      <c r="CM53" s="34">
        <f t="shared" si="20"/>
        <v>92387</v>
      </c>
      <c r="CN53" s="34">
        <f t="shared" si="4"/>
        <v>0</v>
      </c>
      <c r="CU53" s="28">
        <f>VLOOKUP($A53,'Gen ed tchrs'!A49:R164,18,FALSE)*CU$123</f>
        <v>2048984.0999999999</v>
      </c>
      <c r="CV53" s="28">
        <f>'Gen ed tchrs'!Z49*CV$123/2</f>
        <v>123508.20825</v>
      </c>
      <c r="DB53" s="28">
        <f t="shared" si="5"/>
        <v>2554184.3749166667</v>
      </c>
      <c r="DC53" s="28">
        <f t="shared" si="6"/>
        <v>1983036</v>
      </c>
      <c r="DD53" s="28">
        <f t="shared" si="21"/>
        <v>120203.48999999999</v>
      </c>
      <c r="DE53" s="28">
        <f t="shared" si="7"/>
        <v>2103239.4900000002</v>
      </c>
      <c r="DF53" s="6">
        <f t="shared" si="8"/>
        <v>-450944.88491666643</v>
      </c>
      <c r="DM53" s="34"/>
      <c r="DN53" s="34"/>
    </row>
    <row r="54" spans="1:118" x14ac:dyDescent="0.2">
      <c r="A54">
        <v>421</v>
      </c>
      <c r="B54" t="s">
        <v>75</v>
      </c>
      <c r="C54" t="s">
        <v>19</v>
      </c>
      <c r="D54">
        <v>7</v>
      </c>
      <c r="E54">
        <v>375</v>
      </c>
      <c r="F54">
        <v>375</v>
      </c>
      <c r="G54">
        <v>450</v>
      </c>
      <c r="H54" s="50">
        <f t="shared" si="2"/>
        <v>-75</v>
      </c>
      <c r="I54" s="4">
        <v>0.72799999999999998</v>
      </c>
      <c r="J54">
        <v>273</v>
      </c>
      <c r="K54" s="34">
        <v>198942.26</v>
      </c>
      <c r="L54" s="34">
        <v>113832.45</v>
      </c>
      <c r="M54" s="34">
        <v>0</v>
      </c>
      <c r="N54" s="34">
        <v>71961.03</v>
      </c>
      <c r="O54" s="34">
        <v>10032.549999999999</v>
      </c>
      <c r="P54" s="34">
        <v>79024.509999999995</v>
      </c>
      <c r="Q54" s="34">
        <v>60058.83</v>
      </c>
      <c r="R54" s="34">
        <v>204749.06</v>
      </c>
      <c r="S54" s="34">
        <v>113832.45</v>
      </c>
      <c r="T54" s="34">
        <v>0</v>
      </c>
      <c r="U54" s="34">
        <v>0</v>
      </c>
      <c r="V54" s="34">
        <v>0</v>
      </c>
      <c r="W54" s="34">
        <v>0</v>
      </c>
      <c r="X54" s="34">
        <v>0</v>
      </c>
      <c r="Y54" s="34">
        <v>0</v>
      </c>
      <c r="Z54" s="34">
        <v>0</v>
      </c>
      <c r="AA54" s="34">
        <v>0</v>
      </c>
      <c r="AB54" s="34">
        <v>0</v>
      </c>
      <c r="AC54" s="34">
        <v>0</v>
      </c>
      <c r="AD54" s="34">
        <v>0</v>
      </c>
      <c r="AE54" s="34">
        <v>0</v>
      </c>
      <c r="AF54" s="34">
        <v>2239875</v>
      </c>
      <c r="AG54" s="34">
        <v>128250</v>
      </c>
      <c r="AH54" s="34">
        <v>113832.45</v>
      </c>
      <c r="AI54" s="34">
        <v>455329.78</v>
      </c>
      <c r="AJ54" s="34">
        <v>569162.23</v>
      </c>
      <c r="AK54" s="34">
        <v>455329.78</v>
      </c>
      <c r="AL54" s="34">
        <v>156665.71</v>
      </c>
      <c r="AM54" s="34">
        <v>0</v>
      </c>
      <c r="AN54" s="34">
        <v>115116.11</v>
      </c>
      <c r="AO54" s="34">
        <v>0</v>
      </c>
      <c r="AP54" s="34">
        <v>93178.8</v>
      </c>
      <c r="AQ54" s="34">
        <v>0</v>
      </c>
      <c r="AR54" s="34">
        <v>113832.45</v>
      </c>
      <c r="AS54" s="34">
        <v>0</v>
      </c>
      <c r="AT54" s="34">
        <v>0</v>
      </c>
      <c r="AU54" s="34">
        <v>32254.2</v>
      </c>
      <c r="AV54" s="34">
        <v>0</v>
      </c>
      <c r="AW54" s="34">
        <v>0</v>
      </c>
      <c r="AX54" s="34">
        <v>0</v>
      </c>
      <c r="AY54" s="34">
        <v>0</v>
      </c>
      <c r="AZ54" s="34">
        <v>0</v>
      </c>
      <c r="BA54" s="34">
        <v>0</v>
      </c>
      <c r="BB54" s="34">
        <v>0</v>
      </c>
      <c r="BC54" s="34">
        <v>202942.94</v>
      </c>
      <c r="BD54" s="34">
        <v>3268.91</v>
      </c>
      <c r="BE54" s="34">
        <v>0</v>
      </c>
      <c r="BF54" s="34">
        <v>0</v>
      </c>
      <c r="BG54" s="34">
        <v>0</v>
      </c>
      <c r="BH54" s="34">
        <v>0</v>
      </c>
      <c r="BI54" s="34">
        <v>0</v>
      </c>
      <c r="BJ54" s="34">
        <v>0</v>
      </c>
      <c r="BK54" s="34">
        <v>0</v>
      </c>
      <c r="BL54" s="34">
        <v>0</v>
      </c>
      <c r="BM54" s="34">
        <v>0</v>
      </c>
      <c r="BN54" s="34">
        <v>0</v>
      </c>
      <c r="BO54" s="34">
        <v>0</v>
      </c>
      <c r="BP54" s="34">
        <v>0</v>
      </c>
      <c r="BQ54" s="34">
        <v>0</v>
      </c>
      <c r="BR54" s="34">
        <v>0</v>
      </c>
      <c r="BS54" s="34">
        <v>0</v>
      </c>
      <c r="BT54" s="34">
        <v>0</v>
      </c>
      <c r="BU54" s="34">
        <v>0</v>
      </c>
      <c r="BV54" s="34">
        <v>0</v>
      </c>
      <c r="BW54" s="34">
        <v>0</v>
      </c>
      <c r="BX54" s="34">
        <v>0</v>
      </c>
      <c r="BY54" s="34">
        <v>0</v>
      </c>
      <c r="BZ54" s="34">
        <v>0</v>
      </c>
      <c r="CA54" s="34">
        <v>732323.59</v>
      </c>
      <c r="CB54" s="34">
        <v>159479.1</v>
      </c>
      <c r="CC54" s="34">
        <v>373247.52</v>
      </c>
      <c r="CD54" s="34">
        <v>0</v>
      </c>
      <c r="CE54" s="34">
        <v>0</v>
      </c>
      <c r="CF54" s="34">
        <v>668428.72</v>
      </c>
      <c r="CJ54" s="28">
        <f t="shared" si="3"/>
        <v>7464950.4300000006</v>
      </c>
      <c r="CK54" s="28">
        <v>113832</v>
      </c>
      <c r="CL54" s="28">
        <f t="shared" si="25"/>
        <v>198200</v>
      </c>
      <c r="CM54" s="34">
        <f t="shared" si="20"/>
        <v>92387</v>
      </c>
      <c r="CN54" s="34">
        <f t="shared" si="4"/>
        <v>0</v>
      </c>
      <c r="CU54" s="28">
        <f>VLOOKUP($A54,'Gen ed tchrs'!A50:R165,18,FALSE)*CU$123</f>
        <v>2276649</v>
      </c>
      <c r="CV54" s="28">
        <f>'Gen ed tchrs'!Z50*CV$123/2</f>
        <v>117389.7140625</v>
      </c>
      <c r="DB54" s="28">
        <f t="shared" si="5"/>
        <v>2798457.7140624998</v>
      </c>
      <c r="DC54" s="28">
        <f t="shared" si="6"/>
        <v>2239875</v>
      </c>
      <c r="DD54" s="28">
        <f t="shared" si="21"/>
        <v>1041676.24</v>
      </c>
      <c r="DE54" s="28">
        <f t="shared" si="7"/>
        <v>3281551.24</v>
      </c>
      <c r="DF54" s="6">
        <f t="shared" si="8"/>
        <v>483093.52593750041</v>
      </c>
      <c r="DM54" s="34"/>
      <c r="DN54" s="34"/>
    </row>
    <row r="55" spans="1:118" x14ac:dyDescent="0.2">
      <c r="A55">
        <v>257</v>
      </c>
      <c r="B55" t="s">
        <v>74</v>
      </c>
      <c r="C55" t="s">
        <v>7</v>
      </c>
      <c r="D55">
        <v>8</v>
      </c>
      <c r="E55">
        <v>292</v>
      </c>
      <c r="F55">
        <v>224</v>
      </c>
      <c r="G55">
        <v>264</v>
      </c>
      <c r="H55" s="50">
        <f t="shared" si="2"/>
        <v>-40</v>
      </c>
      <c r="I55" s="4">
        <v>0.81849315068493156</v>
      </c>
      <c r="J55">
        <v>239</v>
      </c>
      <c r="K55" s="34">
        <v>198942.26</v>
      </c>
      <c r="L55" s="34">
        <v>0</v>
      </c>
      <c r="M55" s="34">
        <v>0</v>
      </c>
      <c r="N55" s="34">
        <v>71961.03</v>
      </c>
      <c r="O55" s="34">
        <v>6933.25</v>
      </c>
      <c r="P55" s="34">
        <v>79024.509999999995</v>
      </c>
      <c r="Q55" s="34">
        <v>60058.83</v>
      </c>
      <c r="R55" s="34">
        <v>51187.26</v>
      </c>
      <c r="S55" s="34">
        <v>113832.45</v>
      </c>
      <c r="T55" s="34">
        <v>113832.45</v>
      </c>
      <c r="U55" s="34">
        <v>227664.89</v>
      </c>
      <c r="V55" s="34">
        <v>227664.89</v>
      </c>
      <c r="W55" s="34">
        <v>195832.13</v>
      </c>
      <c r="X55" s="34">
        <v>121849.2</v>
      </c>
      <c r="Y55" s="34">
        <v>0</v>
      </c>
      <c r="Z55" s="34">
        <v>0</v>
      </c>
      <c r="AA55" s="34">
        <v>0</v>
      </c>
      <c r="AB55" s="34">
        <v>0</v>
      </c>
      <c r="AC55" s="34">
        <v>0</v>
      </c>
      <c r="AD55" s="34">
        <v>0</v>
      </c>
      <c r="AE55" s="34">
        <v>0</v>
      </c>
      <c r="AF55" s="34">
        <v>1337952</v>
      </c>
      <c r="AG55" s="34">
        <v>94900</v>
      </c>
      <c r="AH55" s="34">
        <v>113832.45</v>
      </c>
      <c r="AI55" s="34">
        <v>113832.45</v>
      </c>
      <c r="AJ55" s="34">
        <v>341497.34</v>
      </c>
      <c r="AK55" s="34">
        <v>0</v>
      </c>
      <c r="AL55" s="34">
        <v>0</v>
      </c>
      <c r="AM55" s="34">
        <v>0</v>
      </c>
      <c r="AN55" s="34">
        <v>0</v>
      </c>
      <c r="AO55" s="34">
        <v>0</v>
      </c>
      <c r="AP55" s="34">
        <v>60924.6</v>
      </c>
      <c r="AQ55" s="34">
        <v>0</v>
      </c>
      <c r="AR55" s="34">
        <v>0</v>
      </c>
      <c r="AS55" s="34">
        <v>30734.76</v>
      </c>
      <c r="AT55" s="34">
        <v>0</v>
      </c>
      <c r="AU55" s="34">
        <v>10751.4</v>
      </c>
      <c r="AV55" s="34">
        <v>20400</v>
      </c>
      <c r="AW55" s="34">
        <v>13600</v>
      </c>
      <c r="AX55" s="34">
        <v>10200</v>
      </c>
      <c r="AY55" s="34">
        <v>0</v>
      </c>
      <c r="AZ55" s="34">
        <v>20400</v>
      </c>
      <c r="BA55" s="34">
        <v>0</v>
      </c>
      <c r="BB55" s="34">
        <v>13600</v>
      </c>
      <c r="BC55" s="34">
        <v>158024.9</v>
      </c>
      <c r="BD55" s="34">
        <v>2545.39</v>
      </c>
      <c r="BE55" s="34">
        <v>0</v>
      </c>
      <c r="BF55" s="34">
        <v>0</v>
      </c>
      <c r="BG55" s="34">
        <v>0</v>
      </c>
      <c r="BH55" s="34">
        <v>0</v>
      </c>
      <c r="BI55" s="34">
        <v>0</v>
      </c>
      <c r="BJ55" s="34">
        <v>0</v>
      </c>
      <c r="BK55" s="34">
        <v>0</v>
      </c>
      <c r="BL55" s="34">
        <v>0</v>
      </c>
      <c r="BM55" s="34">
        <v>0</v>
      </c>
      <c r="BN55" s="34">
        <v>0</v>
      </c>
      <c r="BO55" s="34">
        <v>0</v>
      </c>
      <c r="BP55" s="34">
        <v>0</v>
      </c>
      <c r="BQ55" s="34">
        <v>0</v>
      </c>
      <c r="BR55" s="34">
        <v>0</v>
      </c>
      <c r="BS55" s="34">
        <v>0</v>
      </c>
      <c r="BT55" s="34">
        <v>0</v>
      </c>
      <c r="BU55" s="34">
        <v>15325</v>
      </c>
      <c r="BV55" s="34">
        <v>0</v>
      </c>
      <c r="BW55" s="34">
        <v>0</v>
      </c>
      <c r="BX55" s="34">
        <v>0</v>
      </c>
      <c r="BY55" s="34">
        <v>0</v>
      </c>
      <c r="BZ55" s="34">
        <v>0</v>
      </c>
      <c r="CA55" s="34">
        <v>641118.46</v>
      </c>
      <c r="CB55" s="34">
        <v>145980.12</v>
      </c>
      <c r="CC55" s="34">
        <v>255139.46</v>
      </c>
      <c r="CD55" s="34">
        <v>83935.08</v>
      </c>
      <c r="CE55" s="34">
        <v>197490.74</v>
      </c>
      <c r="CF55" s="34">
        <v>35757.03</v>
      </c>
      <c r="CJ55" s="28">
        <f t="shared" si="3"/>
        <v>5186724.330000001</v>
      </c>
      <c r="CK55" s="28">
        <v>113832</v>
      </c>
      <c r="CM55" s="34">
        <f t="shared" si="20"/>
        <v>46193.5</v>
      </c>
      <c r="CN55" s="34">
        <f t="shared" si="4"/>
        <v>0</v>
      </c>
      <c r="CQ55" s="28">
        <f>IF('Gen ed tchrs'!$V51&gt;37,2*113832,IF('Gen ed tchrs'!$V51&gt;25,1.5*113832,113832))</f>
        <v>113832</v>
      </c>
      <c r="CR55" s="28">
        <f>IF('Gen ed tchrs'!$V51&gt;37,2*113832,IF('Gen ed tchrs'!$V51&gt;25,1.5*113832,113832))</f>
        <v>113832</v>
      </c>
      <c r="CS55" s="28">
        <f>IF('Gen ed tchrs'!$V51&gt;39.1,3.5*113832,IF('Gen ed tchrs'!$V51&gt;33.1,3*113832,IF('Gen ed tchrs'!$V51&gt;26.1,2.5*113832,IF('Gen ed tchrs'!$V51&gt;20.1,2*113832,IF('Gen ed tchrs'!$V51&gt;13.1,1.5*113832,113832)))))</f>
        <v>170748</v>
      </c>
      <c r="CT55" s="34">
        <f>VLOOKUP($A55,'PosxSchpostCouncil 22'!$A$6:$DP$121,94,FALSE)*CT$123</f>
        <v>117499.29000000001</v>
      </c>
      <c r="CU55" s="28">
        <f>VLOOKUP($A55,'Gen ed tchrs'!A51:R166,18,FALSE)*CU$123</f>
        <v>1593654.3</v>
      </c>
      <c r="CV55" s="28">
        <f>'Gen ed tchrs'!Z51*CV$123/2</f>
        <v>56916.224999999999</v>
      </c>
      <c r="DB55" s="28">
        <f t="shared" si="5"/>
        <v>2326507.3149999999</v>
      </c>
      <c r="DC55" s="28">
        <f t="shared" si="6"/>
        <v>1337952</v>
      </c>
      <c r="DD55" s="28">
        <f t="shared" si="21"/>
        <v>572322.31000000006</v>
      </c>
      <c r="DE55" s="28">
        <f t="shared" si="7"/>
        <v>1910274.31</v>
      </c>
      <c r="DF55" s="6">
        <f t="shared" si="8"/>
        <v>-416233.00499999989</v>
      </c>
      <c r="DM55" s="34"/>
      <c r="DN55" s="34"/>
    </row>
    <row r="56" spans="1:118" x14ac:dyDescent="0.2">
      <c r="A56">
        <v>272</v>
      </c>
      <c r="B56" t="s">
        <v>73</v>
      </c>
      <c r="C56" t="s">
        <v>7</v>
      </c>
      <c r="D56">
        <v>3</v>
      </c>
      <c r="E56">
        <v>350</v>
      </c>
      <c r="F56">
        <v>292</v>
      </c>
      <c r="G56">
        <v>321</v>
      </c>
      <c r="H56" s="50">
        <f t="shared" si="2"/>
        <v>-29</v>
      </c>
      <c r="I56" s="4">
        <v>1.7142857142857144E-2</v>
      </c>
      <c r="J56">
        <v>6</v>
      </c>
      <c r="K56" s="34">
        <v>198942.26</v>
      </c>
      <c r="L56" s="34">
        <v>0</v>
      </c>
      <c r="M56" s="34">
        <v>0</v>
      </c>
      <c r="N56" s="34">
        <v>71961.03</v>
      </c>
      <c r="O56" s="34">
        <v>5904.8</v>
      </c>
      <c r="P56" s="34">
        <v>79024.509999999995</v>
      </c>
      <c r="Q56" s="34">
        <v>60058.83</v>
      </c>
      <c r="R56" s="34">
        <v>102374.53</v>
      </c>
      <c r="S56" s="34">
        <v>113832.45</v>
      </c>
      <c r="T56" s="34">
        <v>0</v>
      </c>
      <c r="U56" s="34">
        <v>0</v>
      </c>
      <c r="V56" s="34">
        <v>341497.34</v>
      </c>
      <c r="W56" s="34">
        <v>117499.28</v>
      </c>
      <c r="X56" s="34">
        <v>103930.2</v>
      </c>
      <c r="Y56" s="34">
        <v>0</v>
      </c>
      <c r="Z56" s="34">
        <v>0</v>
      </c>
      <c r="AA56" s="34">
        <v>0</v>
      </c>
      <c r="AB56" s="34">
        <v>0</v>
      </c>
      <c r="AC56" s="34">
        <v>0</v>
      </c>
      <c r="AD56" s="34">
        <v>0</v>
      </c>
      <c r="AE56" s="34">
        <v>0</v>
      </c>
      <c r="AF56" s="34">
        <v>1744116</v>
      </c>
      <c r="AG56" s="34">
        <v>113750</v>
      </c>
      <c r="AH56" s="34">
        <v>113832.45</v>
      </c>
      <c r="AI56" s="34">
        <v>113832.45</v>
      </c>
      <c r="AJ56" s="34">
        <v>341497.34</v>
      </c>
      <c r="AK56" s="34">
        <v>0</v>
      </c>
      <c r="AL56" s="34">
        <v>0</v>
      </c>
      <c r="AM56" s="34">
        <v>0</v>
      </c>
      <c r="AN56" s="34">
        <v>0</v>
      </c>
      <c r="AO56" s="34">
        <v>0</v>
      </c>
      <c r="AP56" s="34">
        <v>35838</v>
      </c>
      <c r="AQ56" s="34">
        <v>0</v>
      </c>
      <c r="AR56" s="34">
        <v>170748.67</v>
      </c>
      <c r="AS56" s="34">
        <v>0</v>
      </c>
      <c r="AT56" s="34">
        <v>0</v>
      </c>
      <c r="AU56" s="34">
        <v>43005.599999999999</v>
      </c>
      <c r="AV56" s="34">
        <v>0</v>
      </c>
      <c r="AW56" s="34">
        <v>0</v>
      </c>
      <c r="AX56" s="34">
        <v>0</v>
      </c>
      <c r="AY56" s="34">
        <v>0</v>
      </c>
      <c r="AZ56" s="34">
        <v>0</v>
      </c>
      <c r="BA56" s="34">
        <v>0</v>
      </c>
      <c r="BB56" s="34">
        <v>0</v>
      </c>
      <c r="BC56" s="34">
        <v>0</v>
      </c>
      <c r="BD56" s="34">
        <v>0</v>
      </c>
      <c r="BE56" s="34">
        <v>8750</v>
      </c>
      <c r="BF56" s="34">
        <v>0</v>
      </c>
      <c r="BG56" s="34">
        <v>0</v>
      </c>
      <c r="BH56" s="34">
        <v>0</v>
      </c>
      <c r="BI56" s="34">
        <v>0</v>
      </c>
      <c r="BJ56" s="34">
        <v>0</v>
      </c>
      <c r="BK56" s="34">
        <v>0</v>
      </c>
      <c r="BL56" s="34">
        <v>0</v>
      </c>
      <c r="BM56" s="34">
        <v>0</v>
      </c>
      <c r="BN56" s="34">
        <v>0</v>
      </c>
      <c r="BO56" s="34">
        <v>0</v>
      </c>
      <c r="BP56" s="34">
        <v>0</v>
      </c>
      <c r="BQ56" s="34">
        <v>0</v>
      </c>
      <c r="BR56" s="34">
        <v>0</v>
      </c>
      <c r="BS56" s="34">
        <v>0</v>
      </c>
      <c r="BT56" s="34">
        <v>0</v>
      </c>
      <c r="BU56" s="34">
        <v>0</v>
      </c>
      <c r="BV56" s="34">
        <v>0</v>
      </c>
      <c r="BW56" s="34">
        <v>0</v>
      </c>
      <c r="BX56" s="34">
        <v>0</v>
      </c>
      <c r="BY56" s="34">
        <v>0</v>
      </c>
      <c r="BZ56" s="34">
        <v>0</v>
      </c>
      <c r="CA56" s="34">
        <v>16095.02</v>
      </c>
      <c r="CB56" s="34">
        <v>0</v>
      </c>
      <c r="CC56" s="34">
        <v>221765.56</v>
      </c>
      <c r="CD56" s="34">
        <v>119964.12</v>
      </c>
      <c r="CE56" s="34">
        <v>61890.71</v>
      </c>
      <c r="CF56" s="34">
        <v>255164.22</v>
      </c>
      <c r="CJ56" s="28">
        <f t="shared" si="3"/>
        <v>4555275.37</v>
      </c>
      <c r="CK56" s="28">
        <v>113832</v>
      </c>
      <c r="CL56" s="28">
        <f t="shared" ref="CL56:CL57" si="26">E56/400*CL$123</f>
        <v>138740</v>
      </c>
      <c r="CM56" s="34">
        <f t="shared" si="20"/>
        <v>92387</v>
      </c>
      <c r="CN56" s="34">
        <f t="shared" si="4"/>
        <v>0</v>
      </c>
      <c r="CQ56" s="28">
        <f>IF('Gen ed tchrs'!$V52&gt;37,2*113832,IF('Gen ed tchrs'!$V52&gt;25,1.5*113832,113832))</f>
        <v>113832</v>
      </c>
      <c r="CR56" s="28">
        <f>IF('Gen ed tchrs'!$V52&gt;37,2*113832,IF('Gen ed tchrs'!$V52&gt;25,1.5*113832,113832))</f>
        <v>113832</v>
      </c>
      <c r="CS56" s="28">
        <f>IF('Gen ed tchrs'!$V52&gt;39.1,3.5*113832,IF('Gen ed tchrs'!$V52&gt;33.1,3*113832,IF('Gen ed tchrs'!$V52&gt;26.1,2.5*113832,IF('Gen ed tchrs'!$V52&gt;20.1,2*113832,IF('Gen ed tchrs'!$V52&gt;13.1,1.5*113832,113832)))))</f>
        <v>170748</v>
      </c>
      <c r="CT56" s="34">
        <f>VLOOKUP($A56,'PosxSchpostCouncil 22'!$A$6:$DP$121,94,FALSE)*CT$123</f>
        <v>117499.29000000001</v>
      </c>
      <c r="CU56" s="28">
        <f>VLOOKUP($A56,'Gen ed tchrs'!A52:R167,18,FALSE)*CU$123</f>
        <v>1821319.2</v>
      </c>
      <c r="CV56" s="28">
        <f>'Gen ed tchrs'!Z52*CV$123/2</f>
        <v>19564.952343749999</v>
      </c>
      <c r="DB56" s="28">
        <f t="shared" si="5"/>
        <v>2701754.44234375</v>
      </c>
      <c r="DC56" s="28">
        <f t="shared" si="6"/>
        <v>1744116</v>
      </c>
      <c r="DD56" s="28">
        <f t="shared" si="21"/>
        <v>658784.61</v>
      </c>
      <c r="DE56" s="28">
        <f t="shared" si="7"/>
        <v>2402900.61</v>
      </c>
      <c r="DF56" s="6">
        <f t="shared" si="8"/>
        <v>-298853.83234375017</v>
      </c>
      <c r="DM56" s="34"/>
      <c r="DN56" s="34"/>
    </row>
    <row r="57" spans="1:118" x14ac:dyDescent="0.2">
      <c r="A57">
        <v>259</v>
      </c>
      <c r="B57" t="s">
        <v>72</v>
      </c>
      <c r="C57" t="s">
        <v>7</v>
      </c>
      <c r="D57">
        <v>7</v>
      </c>
      <c r="E57">
        <v>427</v>
      </c>
      <c r="F57">
        <v>354</v>
      </c>
      <c r="G57">
        <v>318</v>
      </c>
      <c r="H57" s="50">
        <f t="shared" si="2"/>
        <v>36</v>
      </c>
      <c r="I57" s="4">
        <v>0.78454332552693207</v>
      </c>
      <c r="J57">
        <v>335</v>
      </c>
      <c r="K57" s="34">
        <v>198942.26</v>
      </c>
      <c r="L57" s="34">
        <v>0</v>
      </c>
      <c r="M57" s="34">
        <v>0</v>
      </c>
      <c r="N57" s="34">
        <v>71961.03</v>
      </c>
      <c r="O57" s="34">
        <v>7388.4</v>
      </c>
      <c r="P57" s="34">
        <v>79024.509999999995</v>
      </c>
      <c r="Q57" s="34">
        <v>60058.83</v>
      </c>
      <c r="R57" s="34">
        <v>102374.53</v>
      </c>
      <c r="S57" s="34">
        <v>113832.45</v>
      </c>
      <c r="T57" s="34">
        <v>227664.89</v>
      </c>
      <c r="U57" s="34">
        <v>113832.45</v>
      </c>
      <c r="V57" s="34">
        <v>227664.89</v>
      </c>
      <c r="W57" s="34">
        <v>195832.13</v>
      </c>
      <c r="X57" s="34">
        <v>130808.7</v>
      </c>
      <c r="Y57" s="34">
        <v>0</v>
      </c>
      <c r="Z57" s="34">
        <v>0</v>
      </c>
      <c r="AA57" s="34">
        <v>0</v>
      </c>
      <c r="AB57" s="34">
        <v>0</v>
      </c>
      <c r="AC57" s="34">
        <v>0</v>
      </c>
      <c r="AD57" s="34">
        <v>0</v>
      </c>
      <c r="AE57" s="34">
        <v>0</v>
      </c>
      <c r="AF57" s="34">
        <v>2114442</v>
      </c>
      <c r="AG57" s="34">
        <v>138775</v>
      </c>
      <c r="AH57" s="34">
        <v>113832.45</v>
      </c>
      <c r="AI57" s="34">
        <v>227664.89</v>
      </c>
      <c r="AJ57" s="34">
        <v>455329.78</v>
      </c>
      <c r="AK57" s="34">
        <v>0</v>
      </c>
      <c r="AL57" s="34">
        <v>0</v>
      </c>
      <c r="AM57" s="34">
        <v>0</v>
      </c>
      <c r="AN57" s="34">
        <v>0</v>
      </c>
      <c r="AO57" s="34">
        <v>0</v>
      </c>
      <c r="AP57" s="34">
        <v>96762.6</v>
      </c>
      <c r="AQ57" s="34">
        <v>0</v>
      </c>
      <c r="AR57" s="34">
        <v>0</v>
      </c>
      <c r="AS57" s="34">
        <v>10244.92</v>
      </c>
      <c r="AT57" s="34">
        <v>0</v>
      </c>
      <c r="AU57" s="34">
        <v>3583.8</v>
      </c>
      <c r="AV57" s="34">
        <v>20400</v>
      </c>
      <c r="AW57" s="34">
        <v>20400</v>
      </c>
      <c r="AX57" s="34">
        <v>10200</v>
      </c>
      <c r="AY57" s="34">
        <v>0</v>
      </c>
      <c r="AZ57" s="34">
        <v>20400</v>
      </c>
      <c r="BA57" s="34">
        <v>0</v>
      </c>
      <c r="BB57" s="34">
        <v>20400</v>
      </c>
      <c r="BC57" s="34">
        <v>231084.36</v>
      </c>
      <c r="BD57" s="34">
        <v>3722.2</v>
      </c>
      <c r="BE57" s="34">
        <v>0</v>
      </c>
      <c r="BF57" s="34">
        <v>0</v>
      </c>
      <c r="BG57" s="34">
        <v>0</v>
      </c>
      <c r="BH57" s="34">
        <v>0</v>
      </c>
      <c r="BI57" s="34">
        <v>0</v>
      </c>
      <c r="BJ57" s="34">
        <v>0</v>
      </c>
      <c r="BK57" s="34">
        <v>0</v>
      </c>
      <c r="BL57" s="34">
        <v>0</v>
      </c>
      <c r="BM57" s="34">
        <v>0</v>
      </c>
      <c r="BN57" s="34">
        <v>0</v>
      </c>
      <c r="BO57" s="34">
        <v>0</v>
      </c>
      <c r="BP57" s="34">
        <v>0</v>
      </c>
      <c r="BQ57" s="34">
        <v>0</v>
      </c>
      <c r="BR57" s="34">
        <v>0</v>
      </c>
      <c r="BS57" s="34">
        <v>0</v>
      </c>
      <c r="BT57" s="34">
        <v>0</v>
      </c>
      <c r="BU57" s="34">
        <v>0</v>
      </c>
      <c r="BV57" s="34">
        <v>0</v>
      </c>
      <c r="BW57" s="34">
        <v>0</v>
      </c>
      <c r="BX57" s="34">
        <v>0</v>
      </c>
      <c r="BY57" s="34">
        <v>0</v>
      </c>
      <c r="BZ57" s="34">
        <v>0</v>
      </c>
      <c r="CA57" s="34">
        <v>898638.84</v>
      </c>
      <c r="CB57" s="34">
        <v>196153.32</v>
      </c>
      <c r="CC57" s="34">
        <v>0</v>
      </c>
      <c r="CD57" s="34">
        <v>0</v>
      </c>
      <c r="CE57" s="34">
        <v>231668.36</v>
      </c>
      <c r="CF57" s="34">
        <v>0</v>
      </c>
      <c r="CJ57" s="28">
        <f t="shared" si="3"/>
        <v>6343087.5900000008</v>
      </c>
      <c r="CK57" s="28">
        <v>113832</v>
      </c>
      <c r="CL57" s="28">
        <f t="shared" si="26"/>
        <v>169262.8</v>
      </c>
      <c r="CM57" s="34">
        <f t="shared" si="20"/>
        <v>92387</v>
      </c>
      <c r="CN57" s="34">
        <f t="shared" si="4"/>
        <v>50237.002341920379</v>
      </c>
      <c r="CQ57" s="28">
        <f>IF('Gen ed tchrs'!$V53&gt;37,2*113832,IF('Gen ed tchrs'!$V53&gt;25,1.5*113832,113832))</f>
        <v>113832</v>
      </c>
      <c r="CR57" s="28">
        <f>IF('Gen ed tchrs'!$V53&gt;37,2*113832,IF('Gen ed tchrs'!$V53&gt;25,1.5*113832,113832))</f>
        <v>113832</v>
      </c>
      <c r="CS57" s="28">
        <f>IF('Gen ed tchrs'!$V53&gt;39.1,3.5*113832,IF('Gen ed tchrs'!$V53&gt;33.1,3*113832,IF('Gen ed tchrs'!$V53&gt;26.1,2.5*113832,IF('Gen ed tchrs'!$V53&gt;20.1,2*113832,IF('Gen ed tchrs'!$V53&gt;13.1,1.5*113832,113832)))))</f>
        <v>227664</v>
      </c>
      <c r="CT57" s="34">
        <f>VLOOKUP($A57,'PosxSchpostCouncil 22'!$A$6:$DP$121,94,FALSE)*CT$123</f>
        <v>78332.86</v>
      </c>
      <c r="CU57" s="28">
        <f>VLOOKUP($A57,'Gen ed tchrs'!A53:R168,18,FALSE)*CU$123</f>
        <v>2048984.0999999999</v>
      </c>
      <c r="CV57" s="28">
        <f>'Gen ed tchrs'!Z53*CV$123/2</f>
        <v>68263.897359374998</v>
      </c>
      <c r="DB57" s="28">
        <f t="shared" si="5"/>
        <v>3076627.6597012952</v>
      </c>
      <c r="DC57" s="28">
        <f t="shared" si="6"/>
        <v>2114442</v>
      </c>
      <c r="DD57" s="28">
        <f t="shared" si="21"/>
        <v>231668.36</v>
      </c>
      <c r="DE57" s="28">
        <f t="shared" si="7"/>
        <v>2346110.36</v>
      </c>
      <c r="DF57" s="6">
        <f t="shared" si="8"/>
        <v>-730517.29970129533</v>
      </c>
      <c r="DM57" s="34"/>
      <c r="DN57" s="34"/>
    </row>
    <row r="58" spans="1:118" x14ac:dyDescent="0.2">
      <c r="A58">
        <v>344</v>
      </c>
      <c r="B58" t="s">
        <v>71</v>
      </c>
      <c r="C58" t="s">
        <v>7</v>
      </c>
      <c r="D58">
        <v>8</v>
      </c>
      <c r="E58">
        <v>218</v>
      </c>
      <c r="F58">
        <v>164</v>
      </c>
      <c r="G58">
        <v>213</v>
      </c>
      <c r="H58" s="50">
        <f t="shared" si="2"/>
        <v>-49</v>
      </c>
      <c r="I58" s="4">
        <v>0.83944954128440363</v>
      </c>
      <c r="J58">
        <v>183</v>
      </c>
      <c r="K58" s="34">
        <v>198942.26</v>
      </c>
      <c r="L58" s="34">
        <v>0</v>
      </c>
      <c r="M58" s="34">
        <v>0</v>
      </c>
      <c r="N58" s="34">
        <v>71961.03</v>
      </c>
      <c r="O58" s="34">
        <v>5387.95</v>
      </c>
      <c r="P58" s="34">
        <v>79024.509999999995</v>
      </c>
      <c r="Q58" s="34">
        <v>60058.83</v>
      </c>
      <c r="R58" s="34">
        <v>51187.26</v>
      </c>
      <c r="S58" s="34">
        <v>113832.45</v>
      </c>
      <c r="T58" s="34">
        <v>227664.89</v>
      </c>
      <c r="U58" s="34">
        <v>0</v>
      </c>
      <c r="V58" s="34">
        <v>341497.34</v>
      </c>
      <c r="W58" s="34">
        <v>195832.13</v>
      </c>
      <c r="X58" s="34">
        <v>96762.6</v>
      </c>
      <c r="Y58" s="34">
        <v>0</v>
      </c>
      <c r="Z58" s="34">
        <v>0</v>
      </c>
      <c r="AA58" s="34">
        <v>0</v>
      </c>
      <c r="AB58" s="34">
        <v>0</v>
      </c>
      <c r="AC58" s="34">
        <v>0</v>
      </c>
      <c r="AD58" s="34">
        <v>0</v>
      </c>
      <c r="AE58" s="34">
        <v>0</v>
      </c>
      <c r="AF58" s="34">
        <v>979572</v>
      </c>
      <c r="AG58" s="34">
        <v>70850</v>
      </c>
      <c r="AH58" s="34">
        <v>113832.45</v>
      </c>
      <c r="AI58" s="34">
        <v>113832.45</v>
      </c>
      <c r="AJ58" s="34">
        <v>341497.34</v>
      </c>
      <c r="AK58" s="34">
        <v>341497.34</v>
      </c>
      <c r="AL58" s="34">
        <v>234998.56</v>
      </c>
      <c r="AM58" s="34">
        <v>0</v>
      </c>
      <c r="AN58" s="34">
        <v>0</v>
      </c>
      <c r="AO58" s="34">
        <v>0</v>
      </c>
      <c r="AP58" s="34">
        <v>86011.199999999997</v>
      </c>
      <c r="AQ58" s="34">
        <v>0</v>
      </c>
      <c r="AR58" s="34">
        <v>0</v>
      </c>
      <c r="AS58" s="34">
        <v>10244.92</v>
      </c>
      <c r="AT58" s="34">
        <v>0</v>
      </c>
      <c r="AU58" s="34">
        <v>3583.8</v>
      </c>
      <c r="AV58" s="34">
        <v>13600</v>
      </c>
      <c r="AW58" s="34">
        <v>13600</v>
      </c>
      <c r="AX58" s="34">
        <v>10200</v>
      </c>
      <c r="AY58" s="34">
        <v>0</v>
      </c>
      <c r="AZ58" s="34">
        <v>13600</v>
      </c>
      <c r="BA58" s="34">
        <v>0</v>
      </c>
      <c r="BB58" s="34">
        <v>13600</v>
      </c>
      <c r="BC58" s="34">
        <v>117977.5</v>
      </c>
      <c r="BD58" s="34">
        <v>1900.33</v>
      </c>
      <c r="BE58" s="34">
        <v>0</v>
      </c>
      <c r="BF58" s="34">
        <v>0</v>
      </c>
      <c r="BG58" s="34">
        <v>0</v>
      </c>
      <c r="BH58" s="34">
        <v>0</v>
      </c>
      <c r="BI58" s="34">
        <v>0</v>
      </c>
      <c r="BJ58" s="34">
        <v>0</v>
      </c>
      <c r="BK58" s="34">
        <v>0</v>
      </c>
      <c r="BL58" s="34">
        <v>0</v>
      </c>
      <c r="BM58" s="34">
        <v>0</v>
      </c>
      <c r="BN58" s="34">
        <v>0</v>
      </c>
      <c r="BO58" s="34">
        <v>0</v>
      </c>
      <c r="BP58" s="34">
        <v>0</v>
      </c>
      <c r="BQ58" s="34">
        <v>0</v>
      </c>
      <c r="BR58" s="34">
        <v>0</v>
      </c>
      <c r="BS58" s="34">
        <v>0</v>
      </c>
      <c r="BT58" s="34">
        <v>0</v>
      </c>
      <c r="BU58" s="34">
        <v>15325</v>
      </c>
      <c r="BV58" s="34">
        <v>0</v>
      </c>
      <c r="BW58" s="34">
        <v>0</v>
      </c>
      <c r="BX58" s="34">
        <v>0</v>
      </c>
      <c r="BY58" s="34">
        <v>0</v>
      </c>
      <c r="BZ58" s="34">
        <v>0</v>
      </c>
      <c r="CA58" s="34">
        <v>490898.23</v>
      </c>
      <c r="CB58" s="34">
        <v>114442.68</v>
      </c>
      <c r="CC58" s="34">
        <v>208593.31</v>
      </c>
      <c r="CD58" s="34">
        <v>213869.48</v>
      </c>
      <c r="CE58" s="34">
        <v>366910.89</v>
      </c>
      <c r="CF58" s="34">
        <v>0</v>
      </c>
      <c r="CJ58" s="28">
        <f t="shared" si="3"/>
        <v>5332588.7299999995</v>
      </c>
      <c r="CK58" s="28">
        <v>113832</v>
      </c>
      <c r="CM58" s="34">
        <f t="shared" si="20"/>
        <v>46193.5</v>
      </c>
      <c r="CN58" s="34">
        <f t="shared" si="4"/>
        <v>0</v>
      </c>
      <c r="CQ58" s="28">
        <f>IF('Gen ed tchrs'!$V54&gt;37,2*113832,IF('Gen ed tchrs'!$V54&gt;25,1.5*113832,113832))</f>
        <v>113832</v>
      </c>
      <c r="CR58" s="28">
        <f>IF('Gen ed tchrs'!$V54&gt;37,2*113832,IF('Gen ed tchrs'!$V54&gt;25,1.5*113832,113832))</f>
        <v>113832</v>
      </c>
      <c r="CS58" s="28">
        <f>IF('Gen ed tchrs'!$V54&gt;39.1,3.5*113832,IF('Gen ed tchrs'!$V54&gt;33.1,3*113832,IF('Gen ed tchrs'!$V54&gt;26.1,2.5*113832,IF('Gen ed tchrs'!$V54&gt;20.1,2*113832,IF('Gen ed tchrs'!$V54&gt;13.1,1.5*113832,113832)))))</f>
        <v>170748</v>
      </c>
      <c r="CT58" s="34">
        <f>VLOOKUP($A58,'PosxSchpostCouncil 22'!$A$6:$DP$121,94,FALSE)*CT$123</f>
        <v>78332.86</v>
      </c>
      <c r="CU58" s="28">
        <f>VLOOKUP($A58,'Gen ed tchrs'!A54:R169,18,FALSE)*CU$123</f>
        <v>1138324.5</v>
      </c>
      <c r="CV58" s="28">
        <f>'Gen ed tchrs'!Z54*CV$123/2</f>
        <v>56916.224999999999</v>
      </c>
      <c r="DB58" s="28">
        <f t="shared" si="5"/>
        <v>1832011.085</v>
      </c>
      <c r="DC58" s="28">
        <f t="shared" si="6"/>
        <v>979572</v>
      </c>
      <c r="DD58" s="28">
        <f t="shared" si="21"/>
        <v>789373.68</v>
      </c>
      <c r="DE58" s="28">
        <f t="shared" si="7"/>
        <v>1768945.6800000002</v>
      </c>
      <c r="DF58" s="6">
        <f t="shared" si="8"/>
        <v>-63065.404999999795</v>
      </c>
      <c r="DM58" s="34"/>
      <c r="DN58" s="34"/>
    </row>
    <row r="59" spans="1:118" x14ac:dyDescent="0.2">
      <c r="A59">
        <v>417</v>
      </c>
      <c r="B59" t="s">
        <v>70</v>
      </c>
      <c r="C59" t="s">
        <v>19</v>
      </c>
      <c r="D59">
        <v>8</v>
      </c>
      <c r="E59">
        <v>289</v>
      </c>
      <c r="F59">
        <v>289</v>
      </c>
      <c r="G59">
        <v>246</v>
      </c>
      <c r="H59" s="50">
        <f t="shared" si="2"/>
        <v>43</v>
      </c>
      <c r="I59" s="4">
        <v>0.85121107266435991</v>
      </c>
      <c r="J59">
        <v>246</v>
      </c>
      <c r="K59" s="34">
        <v>198942.26</v>
      </c>
      <c r="L59" s="34">
        <v>113832.45</v>
      </c>
      <c r="M59" s="34">
        <v>0</v>
      </c>
      <c r="N59" s="34">
        <v>71961.03</v>
      </c>
      <c r="O59" s="34">
        <v>10041.65</v>
      </c>
      <c r="P59" s="34">
        <v>79024.509999999995</v>
      </c>
      <c r="Q59" s="34">
        <v>60058.83</v>
      </c>
      <c r="R59" s="34">
        <v>153561.79</v>
      </c>
      <c r="S59" s="34">
        <v>113832.45</v>
      </c>
      <c r="T59" s="34">
        <v>0</v>
      </c>
      <c r="U59" s="34">
        <v>0</v>
      </c>
      <c r="V59" s="34">
        <v>0</v>
      </c>
      <c r="W59" s="34">
        <v>0</v>
      </c>
      <c r="X59" s="34">
        <v>0</v>
      </c>
      <c r="Y59" s="34">
        <v>0</v>
      </c>
      <c r="Z59" s="34">
        <v>0</v>
      </c>
      <c r="AA59" s="34">
        <v>0</v>
      </c>
      <c r="AB59" s="34">
        <v>0</v>
      </c>
      <c r="AC59" s="34">
        <v>0</v>
      </c>
      <c r="AD59" s="34">
        <v>0</v>
      </c>
      <c r="AE59" s="34">
        <v>0</v>
      </c>
      <c r="AF59" s="34">
        <v>1726197</v>
      </c>
      <c r="AG59" s="34">
        <v>98838</v>
      </c>
      <c r="AH59" s="34">
        <v>113832.45</v>
      </c>
      <c r="AI59" s="34">
        <v>341497.34</v>
      </c>
      <c r="AJ59" s="34">
        <v>569162.23</v>
      </c>
      <c r="AK59" s="34">
        <v>455329.78</v>
      </c>
      <c r="AL59" s="34">
        <v>156665.71</v>
      </c>
      <c r="AM59" s="34">
        <v>0</v>
      </c>
      <c r="AN59" s="34">
        <v>115116.11</v>
      </c>
      <c r="AO59" s="34">
        <v>0</v>
      </c>
      <c r="AP59" s="34">
        <v>143352</v>
      </c>
      <c r="AQ59" s="34">
        <v>0</v>
      </c>
      <c r="AR59" s="34">
        <v>0</v>
      </c>
      <c r="AS59" s="34">
        <v>30734.76</v>
      </c>
      <c r="AT59" s="34">
        <v>0</v>
      </c>
      <c r="AU59" s="34">
        <v>10751.4</v>
      </c>
      <c r="AV59" s="34">
        <v>0</v>
      </c>
      <c r="AW59" s="34">
        <v>0</v>
      </c>
      <c r="AX59" s="34">
        <v>0</v>
      </c>
      <c r="AY59" s="34">
        <v>0</v>
      </c>
      <c r="AZ59" s="34">
        <v>0</v>
      </c>
      <c r="BA59" s="34">
        <v>0</v>
      </c>
      <c r="BB59" s="34">
        <v>0</v>
      </c>
      <c r="BC59" s="34">
        <v>156401.35999999999</v>
      </c>
      <c r="BD59" s="34">
        <v>2519.2399999999998</v>
      </c>
      <c r="BE59" s="34">
        <v>0</v>
      </c>
      <c r="BF59" s="34">
        <v>0</v>
      </c>
      <c r="BG59" s="34">
        <v>0</v>
      </c>
      <c r="BH59" s="34">
        <v>0</v>
      </c>
      <c r="BI59" s="34">
        <v>0</v>
      </c>
      <c r="BJ59" s="34">
        <v>0</v>
      </c>
      <c r="BK59" s="34">
        <v>0</v>
      </c>
      <c r="BL59" s="34">
        <v>0</v>
      </c>
      <c r="BM59" s="34">
        <v>0</v>
      </c>
      <c r="BN59" s="34">
        <v>0</v>
      </c>
      <c r="BO59" s="34">
        <v>0</v>
      </c>
      <c r="BP59" s="34">
        <v>0</v>
      </c>
      <c r="BQ59" s="34">
        <v>0</v>
      </c>
      <c r="BR59" s="34">
        <v>0</v>
      </c>
      <c r="BS59" s="34">
        <v>0</v>
      </c>
      <c r="BT59" s="34">
        <v>0</v>
      </c>
      <c r="BU59" s="34">
        <v>0</v>
      </c>
      <c r="BV59" s="34">
        <v>0</v>
      </c>
      <c r="BW59" s="34">
        <v>55921</v>
      </c>
      <c r="BX59" s="34">
        <v>0</v>
      </c>
      <c r="BY59" s="34">
        <v>0</v>
      </c>
      <c r="BZ59" s="34">
        <v>0</v>
      </c>
      <c r="CA59" s="34">
        <v>659895.98</v>
      </c>
      <c r="CB59" s="34">
        <v>207979.86</v>
      </c>
      <c r="CC59" s="34">
        <v>0</v>
      </c>
      <c r="CD59" s="34">
        <v>0</v>
      </c>
      <c r="CE59" s="34">
        <v>0</v>
      </c>
      <c r="CF59" s="34">
        <v>0</v>
      </c>
      <c r="CJ59" s="28">
        <f t="shared" si="3"/>
        <v>5645449.1900000004</v>
      </c>
      <c r="CK59" s="28">
        <v>113832</v>
      </c>
      <c r="CL59" s="28">
        <f>E59/300*CL$123</f>
        <v>152746.13333333333</v>
      </c>
      <c r="CM59" s="34">
        <f t="shared" si="20"/>
        <v>46193.5</v>
      </c>
      <c r="CN59" s="34">
        <f t="shared" si="4"/>
        <v>0</v>
      </c>
      <c r="CU59" s="28">
        <f>VLOOKUP($A59,'Gen ed tchrs'!A55:R170,18,FALSE)*CU$123</f>
        <v>1821319.2</v>
      </c>
      <c r="CV59" s="28">
        <f>'Gen ed tchrs'!Z55*CV$123/2</f>
        <v>129626.70243749999</v>
      </c>
      <c r="DB59" s="28">
        <f t="shared" si="5"/>
        <v>2263717.535770833</v>
      </c>
      <c r="DC59" s="28">
        <f t="shared" si="6"/>
        <v>1726197</v>
      </c>
      <c r="DD59" s="28">
        <f t="shared" si="21"/>
        <v>0</v>
      </c>
      <c r="DE59" s="28">
        <f t="shared" si="7"/>
        <v>1726197</v>
      </c>
      <c r="DF59" s="6">
        <f t="shared" si="8"/>
        <v>-537520.53577083303</v>
      </c>
      <c r="DM59" s="34"/>
      <c r="DN59" s="34"/>
    </row>
    <row r="60" spans="1:118" x14ac:dyDescent="0.2">
      <c r="A60">
        <v>261</v>
      </c>
      <c r="B60" t="s">
        <v>69</v>
      </c>
      <c r="C60" t="s">
        <v>7</v>
      </c>
      <c r="D60">
        <v>4</v>
      </c>
      <c r="E60">
        <v>884</v>
      </c>
      <c r="F60">
        <v>823</v>
      </c>
      <c r="G60">
        <v>904</v>
      </c>
      <c r="H60" s="50">
        <f t="shared" si="2"/>
        <v>-81</v>
      </c>
      <c r="I60" s="4">
        <v>3.0542986425339366E-2</v>
      </c>
      <c r="J60">
        <v>27</v>
      </c>
      <c r="K60" s="34">
        <v>198942.26</v>
      </c>
      <c r="L60" s="34">
        <v>0</v>
      </c>
      <c r="M60" s="34">
        <v>0</v>
      </c>
      <c r="N60" s="34">
        <v>71961.03</v>
      </c>
      <c r="O60" s="34">
        <v>9267.1</v>
      </c>
      <c r="P60" s="34">
        <v>79024.509999999995</v>
      </c>
      <c r="Q60" s="34">
        <v>60058.83</v>
      </c>
      <c r="R60" s="34">
        <v>204749.06</v>
      </c>
      <c r="S60" s="34">
        <v>113832.45</v>
      </c>
      <c r="T60" s="34">
        <v>0</v>
      </c>
      <c r="U60" s="34">
        <v>0</v>
      </c>
      <c r="V60" s="34">
        <v>227664.89</v>
      </c>
      <c r="W60" s="34">
        <v>78332.850000000006</v>
      </c>
      <c r="X60" s="34">
        <v>109305.9</v>
      </c>
      <c r="Y60" s="34">
        <v>0</v>
      </c>
      <c r="Z60" s="34">
        <v>0</v>
      </c>
      <c r="AA60" s="34">
        <v>0</v>
      </c>
      <c r="AB60" s="34">
        <v>0</v>
      </c>
      <c r="AC60" s="34">
        <v>0</v>
      </c>
      <c r="AD60" s="34">
        <v>0</v>
      </c>
      <c r="AE60" s="34">
        <v>0</v>
      </c>
      <c r="AF60" s="34">
        <v>4915779</v>
      </c>
      <c r="AG60" s="34">
        <v>287300</v>
      </c>
      <c r="AH60" s="34">
        <v>227664.89</v>
      </c>
      <c r="AI60" s="34">
        <v>341497.34</v>
      </c>
      <c r="AJ60" s="34">
        <v>569162.23</v>
      </c>
      <c r="AK60" s="34">
        <v>455329.78</v>
      </c>
      <c r="AL60" s="34">
        <v>234998.56</v>
      </c>
      <c r="AM60" s="34">
        <v>0</v>
      </c>
      <c r="AN60" s="34">
        <v>0</v>
      </c>
      <c r="AO60" s="34">
        <v>0</v>
      </c>
      <c r="AP60" s="34">
        <v>179190</v>
      </c>
      <c r="AQ60" s="34">
        <v>0</v>
      </c>
      <c r="AR60" s="34">
        <v>455329.78</v>
      </c>
      <c r="AS60" s="34">
        <v>0</v>
      </c>
      <c r="AT60" s="34">
        <v>0</v>
      </c>
      <c r="AU60" s="34">
        <v>139768.20000000001</v>
      </c>
      <c r="AV60" s="34">
        <v>0</v>
      </c>
      <c r="AW60" s="34">
        <v>0</v>
      </c>
      <c r="AX60" s="34">
        <v>0</v>
      </c>
      <c r="AY60" s="34">
        <v>0</v>
      </c>
      <c r="AZ60" s="34">
        <v>0</v>
      </c>
      <c r="BA60" s="34">
        <v>0</v>
      </c>
      <c r="BB60" s="34">
        <v>0</v>
      </c>
      <c r="BC60" s="34">
        <v>0</v>
      </c>
      <c r="BD60" s="34">
        <v>0</v>
      </c>
      <c r="BE60" s="34">
        <v>22100</v>
      </c>
      <c r="BF60" s="34">
        <v>0</v>
      </c>
      <c r="BG60" s="34">
        <v>0</v>
      </c>
      <c r="BH60" s="34">
        <v>0</v>
      </c>
      <c r="BI60" s="34">
        <v>0</v>
      </c>
      <c r="BJ60" s="34">
        <v>0</v>
      </c>
      <c r="BK60" s="34">
        <v>0</v>
      </c>
      <c r="BL60" s="34">
        <v>0</v>
      </c>
      <c r="BM60" s="34">
        <v>0</v>
      </c>
      <c r="BN60" s="34">
        <v>0</v>
      </c>
      <c r="BO60" s="34">
        <v>0</v>
      </c>
      <c r="BP60" s="34">
        <v>0</v>
      </c>
      <c r="BQ60" s="34">
        <v>0</v>
      </c>
      <c r="BR60" s="34">
        <v>0</v>
      </c>
      <c r="BS60" s="34">
        <v>0</v>
      </c>
      <c r="BT60" s="34">
        <v>0</v>
      </c>
      <c r="BU60" s="34">
        <v>0</v>
      </c>
      <c r="BV60" s="34">
        <v>0</v>
      </c>
      <c r="BW60" s="34">
        <v>0</v>
      </c>
      <c r="BX60" s="34">
        <v>0</v>
      </c>
      <c r="BY60" s="34">
        <v>0</v>
      </c>
      <c r="BZ60" s="34">
        <v>0</v>
      </c>
      <c r="CA60" s="34">
        <v>72427.61</v>
      </c>
      <c r="CB60" s="34">
        <v>0</v>
      </c>
      <c r="CC60" s="34">
        <v>527103.06999999995</v>
      </c>
      <c r="CD60" s="34">
        <v>516011.11</v>
      </c>
      <c r="CE60" s="34">
        <v>0</v>
      </c>
      <c r="CF60" s="34">
        <v>961272.13</v>
      </c>
      <c r="CJ60" s="28">
        <f t="shared" si="3"/>
        <v>11058072.579999998</v>
      </c>
      <c r="CK60" s="28">
        <v>113832</v>
      </c>
      <c r="CL60" s="28">
        <f t="shared" ref="CL60:CL62" si="27">E60/400*CL$123</f>
        <v>350417.6</v>
      </c>
      <c r="CM60" s="34">
        <f t="shared" si="20"/>
        <v>92387</v>
      </c>
      <c r="CN60" s="34">
        <f t="shared" si="4"/>
        <v>24266.06334841629</v>
      </c>
      <c r="CQ60" s="28">
        <f>IF('Gen ed tchrs'!$V56&gt;37,2*113832,IF('Gen ed tchrs'!$V56&gt;25,1.5*113832,113832))</f>
        <v>227664</v>
      </c>
      <c r="CR60" s="28">
        <f>IF('Gen ed tchrs'!$V56&gt;37,2*113832,IF('Gen ed tchrs'!$V56&gt;25,1.5*113832,113832))</f>
        <v>227664</v>
      </c>
      <c r="CS60" s="28">
        <f>IF('Gen ed tchrs'!$V56&gt;39.1,3.5*113832,IF('Gen ed tchrs'!$V56&gt;33.1,3*113832,IF('Gen ed tchrs'!$V56&gt;26.1,2.5*113832,IF('Gen ed tchrs'!$V56&gt;20.1,2*113832,IF('Gen ed tchrs'!$V56&gt;13.1,1.5*113832,113832)))))</f>
        <v>398412</v>
      </c>
      <c r="CT60" s="34">
        <f>VLOOKUP($A60,'PosxSchpostCouncil 22'!$A$6:$DP$121,94,FALSE)*CT$123</f>
        <v>234998.58000000002</v>
      </c>
      <c r="CU60" s="28">
        <f>VLOOKUP($A60,'Gen ed tchrs'!A56:R171,18,FALSE)*CU$123</f>
        <v>4780962.8999999994</v>
      </c>
      <c r="CV60" s="28">
        <f>'Gen ed tchrs'!Z56*CV$123/2</f>
        <v>190242.4820625</v>
      </c>
      <c r="DB60" s="28">
        <f t="shared" si="5"/>
        <v>6640846.6254109163</v>
      </c>
      <c r="DC60" s="28">
        <f t="shared" si="6"/>
        <v>4915779</v>
      </c>
      <c r="DD60" s="28">
        <f t="shared" si="21"/>
        <v>2004386.31</v>
      </c>
      <c r="DE60" s="28">
        <f t="shared" si="7"/>
        <v>6920165.3100000005</v>
      </c>
      <c r="DF60" s="6">
        <f t="shared" si="8"/>
        <v>279318.68458908424</v>
      </c>
      <c r="DM60" s="34"/>
      <c r="DN60" s="34"/>
    </row>
    <row r="61" spans="1:118" x14ac:dyDescent="0.2">
      <c r="A61">
        <v>262</v>
      </c>
      <c r="B61" t="s">
        <v>68</v>
      </c>
      <c r="C61" t="s">
        <v>7</v>
      </c>
      <c r="D61">
        <v>5</v>
      </c>
      <c r="E61">
        <v>354</v>
      </c>
      <c r="F61">
        <v>277</v>
      </c>
      <c r="G61">
        <v>276</v>
      </c>
      <c r="H61" s="50">
        <f t="shared" si="2"/>
        <v>1</v>
      </c>
      <c r="I61" s="4">
        <v>0.54802259887005644</v>
      </c>
      <c r="J61">
        <v>194</v>
      </c>
      <c r="K61" s="34">
        <v>198942.26</v>
      </c>
      <c r="L61" s="34">
        <v>0</v>
      </c>
      <c r="M61" s="34">
        <v>0</v>
      </c>
      <c r="N61" s="34">
        <v>71961.03</v>
      </c>
      <c r="O61" s="34">
        <v>7357.85</v>
      </c>
      <c r="P61" s="34">
        <v>79024.509999999995</v>
      </c>
      <c r="Q61" s="34">
        <v>60058.83</v>
      </c>
      <c r="R61" s="34">
        <v>102374.53</v>
      </c>
      <c r="S61" s="34">
        <v>113832.45</v>
      </c>
      <c r="T61" s="34">
        <v>113832.45</v>
      </c>
      <c r="U61" s="34">
        <v>341497.34</v>
      </c>
      <c r="V61" s="34">
        <v>113832.45</v>
      </c>
      <c r="W61" s="34">
        <v>195832.13</v>
      </c>
      <c r="X61" s="34">
        <v>137976.29999999999</v>
      </c>
      <c r="Y61" s="34">
        <v>0</v>
      </c>
      <c r="Z61" s="34">
        <v>0</v>
      </c>
      <c r="AA61" s="34">
        <v>0</v>
      </c>
      <c r="AB61" s="34">
        <v>0</v>
      </c>
      <c r="AC61" s="34">
        <v>0</v>
      </c>
      <c r="AD61" s="34">
        <v>0</v>
      </c>
      <c r="AE61" s="34">
        <v>0</v>
      </c>
      <c r="AF61" s="34">
        <v>1654521</v>
      </c>
      <c r="AG61" s="34">
        <v>115050</v>
      </c>
      <c r="AH61" s="34">
        <v>113832.45</v>
      </c>
      <c r="AI61" s="34">
        <v>227664.89</v>
      </c>
      <c r="AJ61" s="34">
        <v>341497.34</v>
      </c>
      <c r="AK61" s="34">
        <v>341497.34</v>
      </c>
      <c r="AL61" s="34">
        <v>234998.56</v>
      </c>
      <c r="AM61" s="34">
        <v>0</v>
      </c>
      <c r="AN61" s="34">
        <v>0</v>
      </c>
      <c r="AO61" s="34">
        <v>0</v>
      </c>
      <c r="AP61" s="34">
        <v>71676</v>
      </c>
      <c r="AQ61" s="34">
        <v>0</v>
      </c>
      <c r="AR61" s="34">
        <v>113832.45</v>
      </c>
      <c r="AS61" s="34">
        <v>0</v>
      </c>
      <c r="AT61" s="34">
        <v>0</v>
      </c>
      <c r="AU61" s="34">
        <v>30462.3</v>
      </c>
      <c r="AV61" s="34">
        <v>27200</v>
      </c>
      <c r="AW61" s="34">
        <v>27200</v>
      </c>
      <c r="AX61" s="34">
        <v>10200</v>
      </c>
      <c r="AY61" s="34">
        <v>0</v>
      </c>
      <c r="AZ61" s="34">
        <v>20400</v>
      </c>
      <c r="BA61" s="34">
        <v>0</v>
      </c>
      <c r="BB61" s="34">
        <v>20400</v>
      </c>
      <c r="BC61" s="34">
        <v>163653.19</v>
      </c>
      <c r="BD61" s="34">
        <v>2636.05</v>
      </c>
      <c r="BE61" s="34">
        <v>0</v>
      </c>
      <c r="BF61" s="34">
        <v>0</v>
      </c>
      <c r="BG61" s="34">
        <v>0</v>
      </c>
      <c r="BH61" s="34">
        <v>0</v>
      </c>
      <c r="BI61" s="34">
        <v>0</v>
      </c>
      <c r="BJ61" s="34">
        <v>0</v>
      </c>
      <c r="BK61" s="34">
        <v>0</v>
      </c>
      <c r="BL61" s="34">
        <v>0</v>
      </c>
      <c r="BM61" s="34">
        <v>0</v>
      </c>
      <c r="BN61" s="34">
        <v>0</v>
      </c>
      <c r="BO61" s="34">
        <v>0</v>
      </c>
      <c r="BP61" s="34">
        <v>0</v>
      </c>
      <c r="BQ61" s="34">
        <v>0</v>
      </c>
      <c r="BR61" s="34">
        <v>0</v>
      </c>
      <c r="BS61" s="34">
        <v>0</v>
      </c>
      <c r="BT61" s="34">
        <v>0</v>
      </c>
      <c r="BU61" s="34">
        <v>0</v>
      </c>
      <c r="BV61" s="34">
        <v>0</v>
      </c>
      <c r="BW61" s="34">
        <v>0</v>
      </c>
      <c r="BX61" s="34">
        <v>0</v>
      </c>
      <c r="BY61" s="34">
        <v>0</v>
      </c>
      <c r="BZ61" s="34">
        <v>0</v>
      </c>
      <c r="CA61" s="34">
        <v>520405.78</v>
      </c>
      <c r="CB61" s="34">
        <v>62597.04</v>
      </c>
      <c r="CC61" s="34">
        <v>0</v>
      </c>
      <c r="CD61" s="34">
        <v>111947.49</v>
      </c>
      <c r="CE61" s="34">
        <v>31547.87</v>
      </c>
      <c r="CF61" s="34">
        <v>0</v>
      </c>
      <c r="CJ61" s="28">
        <f t="shared" si="3"/>
        <v>5779741.8800000008</v>
      </c>
      <c r="CK61" s="28">
        <v>113832</v>
      </c>
      <c r="CL61" s="28">
        <f t="shared" si="27"/>
        <v>140325.6</v>
      </c>
      <c r="CM61" s="34">
        <f t="shared" si="20"/>
        <v>92387</v>
      </c>
      <c r="CN61" s="34">
        <f t="shared" si="4"/>
        <v>0</v>
      </c>
      <c r="CQ61" s="28">
        <f>IF('Gen ed tchrs'!$V57&gt;37,2*113832,IF('Gen ed tchrs'!$V57&gt;25,1.5*113832,113832))</f>
        <v>113832</v>
      </c>
      <c r="CR61" s="28">
        <f>IF('Gen ed tchrs'!$V57&gt;37,2*113832,IF('Gen ed tchrs'!$V57&gt;25,1.5*113832,113832))</f>
        <v>113832</v>
      </c>
      <c r="CS61" s="28">
        <f>IF('Gen ed tchrs'!$V57&gt;39.1,3.5*113832,IF('Gen ed tchrs'!$V57&gt;33.1,3*113832,IF('Gen ed tchrs'!$V57&gt;26.1,2.5*113832,IF('Gen ed tchrs'!$V57&gt;20.1,2*113832,IF('Gen ed tchrs'!$V57&gt;13.1,1.5*113832,113832)))))</f>
        <v>170748</v>
      </c>
      <c r="CT61" s="34">
        <f>VLOOKUP($A61,'PosxSchpostCouncil 22'!$A$6:$DP$121,94,FALSE)*CT$123</f>
        <v>117499.29000000001</v>
      </c>
      <c r="CU61" s="28">
        <f>VLOOKUP($A61,'Gen ed tchrs'!A57:R172,18,FALSE)*CU$123</f>
        <v>1707486.75</v>
      </c>
      <c r="CV61" s="28">
        <f>'Gen ed tchrs'!Z57*CV$123/2</f>
        <v>19138.080656249997</v>
      </c>
      <c r="DB61" s="28">
        <f t="shared" si="5"/>
        <v>2589080.7206562501</v>
      </c>
      <c r="DC61" s="28">
        <f t="shared" si="6"/>
        <v>1654521</v>
      </c>
      <c r="DD61" s="28">
        <f t="shared" si="21"/>
        <v>143495.36000000002</v>
      </c>
      <c r="DE61" s="28">
        <f t="shared" si="7"/>
        <v>1798016.36</v>
      </c>
      <c r="DF61" s="6">
        <f t="shared" si="8"/>
        <v>-791064.36065625004</v>
      </c>
      <c r="DM61" s="34"/>
      <c r="DN61" s="34"/>
    </row>
    <row r="62" spans="1:118" x14ac:dyDescent="0.2">
      <c r="A62">
        <v>370</v>
      </c>
      <c r="B62" t="s">
        <v>67</v>
      </c>
      <c r="C62" t="s">
        <v>7</v>
      </c>
      <c r="D62">
        <v>5</v>
      </c>
      <c r="E62">
        <v>312</v>
      </c>
      <c r="F62">
        <v>232</v>
      </c>
      <c r="G62">
        <v>225</v>
      </c>
      <c r="H62" s="50">
        <f t="shared" si="2"/>
        <v>7</v>
      </c>
      <c r="I62" s="4">
        <v>0.52884615384615385</v>
      </c>
      <c r="J62">
        <v>165</v>
      </c>
      <c r="K62" s="34">
        <v>198942.26</v>
      </c>
      <c r="L62" s="34">
        <v>0</v>
      </c>
      <c r="M62" s="34">
        <v>0</v>
      </c>
      <c r="N62" s="34">
        <v>71961.03</v>
      </c>
      <c r="O62" s="34">
        <v>9261.9</v>
      </c>
      <c r="P62" s="34">
        <v>79024.509999999995</v>
      </c>
      <c r="Q62" s="34">
        <v>60058.83</v>
      </c>
      <c r="R62" s="34">
        <v>153561.79</v>
      </c>
      <c r="S62" s="34">
        <v>113832.45</v>
      </c>
      <c r="T62" s="34">
        <v>227664.89</v>
      </c>
      <c r="U62" s="34">
        <v>113832.45</v>
      </c>
      <c r="V62" s="34">
        <v>341497.34</v>
      </c>
      <c r="W62" s="34">
        <v>234998.56</v>
      </c>
      <c r="X62" s="34">
        <v>143352</v>
      </c>
      <c r="Y62" s="34">
        <v>0</v>
      </c>
      <c r="Z62" s="34">
        <v>0</v>
      </c>
      <c r="AA62" s="34">
        <v>0</v>
      </c>
      <c r="AB62" s="34">
        <v>0</v>
      </c>
      <c r="AC62" s="34">
        <v>0</v>
      </c>
      <c r="AD62" s="34">
        <v>0</v>
      </c>
      <c r="AE62" s="34">
        <v>0</v>
      </c>
      <c r="AF62" s="34">
        <v>1385736</v>
      </c>
      <c r="AG62" s="34">
        <v>101400</v>
      </c>
      <c r="AH62" s="34">
        <v>113832.45</v>
      </c>
      <c r="AI62" s="34">
        <v>455329.78</v>
      </c>
      <c r="AJ62" s="34">
        <v>341497.34</v>
      </c>
      <c r="AK62" s="34">
        <v>455329.78</v>
      </c>
      <c r="AL62" s="34">
        <v>274164.99</v>
      </c>
      <c r="AM62" s="34">
        <v>0</v>
      </c>
      <c r="AN62" s="34">
        <v>57558.06</v>
      </c>
      <c r="AO62" s="34">
        <v>0</v>
      </c>
      <c r="AP62" s="34">
        <v>116473.5</v>
      </c>
      <c r="AQ62" s="34">
        <v>0</v>
      </c>
      <c r="AR62" s="34">
        <v>227664.89</v>
      </c>
      <c r="AS62" s="34">
        <v>0</v>
      </c>
      <c r="AT62" s="34">
        <v>0</v>
      </c>
      <c r="AU62" s="34">
        <v>60924.6</v>
      </c>
      <c r="AV62" s="34">
        <v>20400</v>
      </c>
      <c r="AW62" s="34">
        <v>20400</v>
      </c>
      <c r="AX62" s="34">
        <v>10200</v>
      </c>
      <c r="AY62" s="34">
        <v>0</v>
      </c>
      <c r="AZ62" s="34">
        <v>13600</v>
      </c>
      <c r="BA62" s="34">
        <v>0</v>
      </c>
      <c r="BB62" s="34">
        <v>13600</v>
      </c>
      <c r="BC62" s="34">
        <v>144603.60999999999</v>
      </c>
      <c r="BD62" s="34">
        <v>2329.21</v>
      </c>
      <c r="BE62" s="34">
        <v>0</v>
      </c>
      <c r="BF62" s="34">
        <v>113832.45</v>
      </c>
      <c r="BG62" s="34">
        <v>0</v>
      </c>
      <c r="BH62" s="34">
        <v>0</v>
      </c>
      <c r="BI62" s="34">
        <v>0</v>
      </c>
      <c r="BJ62" s="34">
        <v>0</v>
      </c>
      <c r="BK62" s="34">
        <v>0</v>
      </c>
      <c r="BL62" s="34">
        <v>0</v>
      </c>
      <c r="BM62" s="34">
        <v>0</v>
      </c>
      <c r="BN62" s="34">
        <v>0</v>
      </c>
      <c r="BO62" s="34">
        <v>0</v>
      </c>
      <c r="BP62" s="34">
        <v>0</v>
      </c>
      <c r="BQ62" s="34">
        <v>0</v>
      </c>
      <c r="BR62" s="34">
        <v>0</v>
      </c>
      <c r="BS62" s="34">
        <v>0</v>
      </c>
      <c r="BT62" s="34">
        <v>0</v>
      </c>
      <c r="BU62" s="34">
        <v>0</v>
      </c>
      <c r="BV62" s="34">
        <v>0</v>
      </c>
      <c r="BW62" s="34">
        <v>0</v>
      </c>
      <c r="BX62" s="34">
        <v>0</v>
      </c>
      <c r="BY62" s="34">
        <v>0</v>
      </c>
      <c r="BZ62" s="34">
        <v>0</v>
      </c>
      <c r="CA62" s="34">
        <v>442613.16</v>
      </c>
      <c r="CB62" s="34">
        <v>48022.92</v>
      </c>
      <c r="CC62" s="34">
        <v>0</v>
      </c>
      <c r="CD62" s="34">
        <v>45730.51</v>
      </c>
      <c r="CE62" s="34">
        <v>120439.03999999999</v>
      </c>
      <c r="CF62" s="34">
        <v>0</v>
      </c>
      <c r="CJ62" s="28">
        <f t="shared" si="3"/>
        <v>6333670.2999999998</v>
      </c>
      <c r="CK62" s="28">
        <v>113832</v>
      </c>
      <c r="CL62" s="28">
        <f t="shared" si="27"/>
        <v>123676.8</v>
      </c>
      <c r="CM62" s="34">
        <f t="shared" si="20"/>
        <v>92387</v>
      </c>
      <c r="CN62" s="34">
        <f t="shared" si="4"/>
        <v>0</v>
      </c>
      <c r="CQ62" s="28">
        <f>IF('Gen ed tchrs'!$V58&gt;37,2*113832,IF('Gen ed tchrs'!$V58&gt;25,1.5*113832,113832))</f>
        <v>113832</v>
      </c>
      <c r="CR62" s="28">
        <f>IF('Gen ed tchrs'!$V58&gt;37,2*113832,IF('Gen ed tchrs'!$V58&gt;25,1.5*113832,113832))</f>
        <v>113832</v>
      </c>
      <c r="CS62" s="28">
        <f>IF('Gen ed tchrs'!$V58&gt;39.1,3.5*113832,IF('Gen ed tchrs'!$V58&gt;33.1,3*113832,IF('Gen ed tchrs'!$V58&gt;26.1,2.5*113832,IF('Gen ed tchrs'!$V58&gt;20.1,2*113832,IF('Gen ed tchrs'!$V58&gt;13.1,1.5*113832,113832)))))</f>
        <v>170748</v>
      </c>
      <c r="CT62" s="34">
        <f>VLOOKUP($A62,'PosxSchpostCouncil 22'!$A$6:$DP$121,94,FALSE)*CT$123</f>
        <v>78332.86</v>
      </c>
      <c r="CU62" s="28">
        <f>VLOOKUP($A62,'Gen ed tchrs'!A58:R173,18,FALSE)*CU$123</f>
        <v>1593654.3</v>
      </c>
      <c r="CV62" s="28">
        <f>'Gen ed tchrs'!Z58*CV$123/2</f>
        <v>23620.233375</v>
      </c>
      <c r="DB62" s="28">
        <f t="shared" si="5"/>
        <v>2423915.1933749998</v>
      </c>
      <c r="DC62" s="28">
        <f t="shared" si="6"/>
        <v>1385736</v>
      </c>
      <c r="DD62" s="28">
        <f t="shared" si="21"/>
        <v>166169.54999999999</v>
      </c>
      <c r="DE62" s="28">
        <f t="shared" si="7"/>
        <v>1551905.55</v>
      </c>
      <c r="DF62" s="6">
        <f t="shared" si="8"/>
        <v>-872009.64337499975</v>
      </c>
      <c r="DM62" s="34"/>
      <c r="DN62" s="34"/>
    </row>
    <row r="63" spans="1:118" x14ac:dyDescent="0.2">
      <c r="A63">
        <v>264</v>
      </c>
      <c r="B63" t="s">
        <v>66</v>
      </c>
      <c r="C63" t="s">
        <v>7</v>
      </c>
      <c r="D63">
        <v>4</v>
      </c>
      <c r="E63">
        <v>267</v>
      </c>
      <c r="F63">
        <v>208</v>
      </c>
      <c r="G63">
        <v>193</v>
      </c>
      <c r="H63" s="50">
        <f t="shared" si="2"/>
        <v>15</v>
      </c>
      <c r="I63" s="4">
        <v>0.48689138576779029</v>
      </c>
      <c r="J63">
        <v>130</v>
      </c>
      <c r="K63" s="34">
        <v>198942.26</v>
      </c>
      <c r="L63" s="34">
        <v>0</v>
      </c>
      <c r="M63" s="34">
        <v>0</v>
      </c>
      <c r="N63" s="34">
        <v>71961.03</v>
      </c>
      <c r="O63" s="34">
        <v>5510.15</v>
      </c>
      <c r="P63" s="34">
        <v>79024.509999999995</v>
      </c>
      <c r="Q63" s="34">
        <v>60058.83</v>
      </c>
      <c r="R63" s="34">
        <v>51187.26</v>
      </c>
      <c r="S63" s="34">
        <v>113832.45</v>
      </c>
      <c r="T63" s="34">
        <v>113832.45</v>
      </c>
      <c r="U63" s="34">
        <v>227664.89</v>
      </c>
      <c r="V63" s="34">
        <v>113832.45</v>
      </c>
      <c r="W63" s="34">
        <v>156665.71</v>
      </c>
      <c r="X63" s="34">
        <v>105722.1</v>
      </c>
      <c r="Y63" s="34">
        <v>0</v>
      </c>
      <c r="Z63" s="34">
        <v>0</v>
      </c>
      <c r="AA63" s="34">
        <v>0</v>
      </c>
      <c r="AB63" s="34">
        <v>0</v>
      </c>
      <c r="AC63" s="34">
        <v>0</v>
      </c>
      <c r="AD63" s="34">
        <v>0</v>
      </c>
      <c r="AE63" s="34">
        <v>0</v>
      </c>
      <c r="AF63" s="34">
        <v>1242384</v>
      </c>
      <c r="AG63" s="34">
        <v>86775</v>
      </c>
      <c r="AH63" s="34">
        <v>113832.45</v>
      </c>
      <c r="AI63" s="34">
        <v>341497.34</v>
      </c>
      <c r="AJ63" s="34">
        <v>341497.34</v>
      </c>
      <c r="AK63" s="34">
        <v>341497.34</v>
      </c>
      <c r="AL63" s="34">
        <v>156665.71</v>
      </c>
      <c r="AM63" s="34">
        <v>0</v>
      </c>
      <c r="AN63" s="34">
        <v>57558.06</v>
      </c>
      <c r="AO63" s="34">
        <v>0</v>
      </c>
      <c r="AP63" s="34">
        <v>71676</v>
      </c>
      <c r="AQ63" s="34">
        <v>0</v>
      </c>
      <c r="AR63" s="34">
        <v>739910.9</v>
      </c>
      <c r="AS63" s="34">
        <v>0</v>
      </c>
      <c r="AT63" s="34">
        <v>0</v>
      </c>
      <c r="AU63" s="34">
        <v>240114.6</v>
      </c>
      <c r="AV63" s="34">
        <v>20400</v>
      </c>
      <c r="AW63" s="34">
        <v>13600</v>
      </c>
      <c r="AX63" s="34">
        <v>10200</v>
      </c>
      <c r="AY63" s="34">
        <v>0</v>
      </c>
      <c r="AZ63" s="34">
        <v>20400</v>
      </c>
      <c r="BA63" s="34">
        <v>0</v>
      </c>
      <c r="BB63" s="34">
        <v>13600</v>
      </c>
      <c r="BC63" s="34">
        <v>99577.34</v>
      </c>
      <c r="BD63" s="34">
        <v>1603.95</v>
      </c>
      <c r="BE63" s="34">
        <v>0</v>
      </c>
      <c r="BF63" s="34">
        <v>0</v>
      </c>
      <c r="BG63" s="34">
        <v>0</v>
      </c>
      <c r="BH63" s="34">
        <v>0</v>
      </c>
      <c r="BI63" s="34">
        <v>0</v>
      </c>
      <c r="BJ63" s="34">
        <v>0</v>
      </c>
      <c r="BK63" s="34">
        <v>0</v>
      </c>
      <c r="BL63" s="34">
        <v>0</v>
      </c>
      <c r="BM63" s="34">
        <v>0</v>
      </c>
      <c r="BN63" s="34">
        <v>0</v>
      </c>
      <c r="BO63" s="34">
        <v>0</v>
      </c>
      <c r="BP63" s="34">
        <v>0</v>
      </c>
      <c r="BQ63" s="34">
        <v>0</v>
      </c>
      <c r="BR63" s="34">
        <v>0</v>
      </c>
      <c r="BS63" s="34">
        <v>0</v>
      </c>
      <c r="BT63" s="34">
        <v>0</v>
      </c>
      <c r="BU63" s="34">
        <v>15325</v>
      </c>
      <c r="BV63" s="34">
        <v>0</v>
      </c>
      <c r="BW63" s="34">
        <v>0</v>
      </c>
      <c r="BX63" s="34">
        <v>0</v>
      </c>
      <c r="BY63" s="34">
        <v>0</v>
      </c>
      <c r="BZ63" s="34">
        <v>0</v>
      </c>
      <c r="CA63" s="34">
        <v>348725.52</v>
      </c>
      <c r="CB63" s="34">
        <v>27714.720000000001</v>
      </c>
      <c r="CC63" s="34">
        <v>338791.02</v>
      </c>
      <c r="CD63" s="34">
        <v>0</v>
      </c>
      <c r="CE63" s="34">
        <v>187336.64</v>
      </c>
      <c r="CF63" s="34">
        <v>646903.48</v>
      </c>
      <c r="CJ63" s="28">
        <f t="shared" si="3"/>
        <v>6775820.4999999981</v>
      </c>
      <c r="CK63" s="28">
        <v>113832</v>
      </c>
      <c r="CM63" s="34">
        <f t="shared" si="20"/>
        <v>46193.5</v>
      </c>
      <c r="CN63" s="34">
        <f t="shared" si="4"/>
        <v>0</v>
      </c>
      <c r="CQ63" s="28">
        <f>IF('Gen ed tchrs'!$V59&gt;37,2*113832,IF('Gen ed tchrs'!$V59&gt;25,1.5*113832,113832))</f>
        <v>113832</v>
      </c>
      <c r="CR63" s="28">
        <f>IF('Gen ed tchrs'!$V59&gt;37,2*113832,IF('Gen ed tchrs'!$V59&gt;25,1.5*113832,113832))</f>
        <v>113832</v>
      </c>
      <c r="CS63" s="28">
        <f>IF('Gen ed tchrs'!$V59&gt;39.1,3.5*113832,IF('Gen ed tchrs'!$V59&gt;33.1,3*113832,IF('Gen ed tchrs'!$V59&gt;26.1,2.5*113832,IF('Gen ed tchrs'!$V59&gt;20.1,2*113832,IF('Gen ed tchrs'!$V59&gt;13.1,1.5*113832,113832)))))</f>
        <v>170748</v>
      </c>
      <c r="CT63" s="34">
        <f>VLOOKUP($A63,'PosxSchpostCouncil 22'!$A$6:$DP$121,94,FALSE)*CT$123</f>
        <v>78332.86</v>
      </c>
      <c r="CU63" s="28">
        <f>VLOOKUP($A63,'Gen ed tchrs'!A59:R174,18,FALSE)*CU$123</f>
        <v>1479821.8499999999</v>
      </c>
      <c r="CV63" s="28">
        <f>'Gen ed tchrs'!Z59*CV$123/2</f>
        <v>56916.224999999999</v>
      </c>
      <c r="DB63" s="28">
        <f t="shared" si="5"/>
        <v>2173508.4350000001</v>
      </c>
      <c r="DC63" s="28">
        <f t="shared" si="6"/>
        <v>1242384</v>
      </c>
      <c r="DD63" s="28">
        <f t="shared" si="21"/>
        <v>1173031.1400000001</v>
      </c>
      <c r="DE63" s="28">
        <f t="shared" si="7"/>
        <v>2415415.14</v>
      </c>
      <c r="DF63" s="6">
        <f t="shared" si="8"/>
        <v>241906.70500000007</v>
      </c>
      <c r="DM63" s="34"/>
      <c r="DN63" s="34"/>
    </row>
    <row r="64" spans="1:118" x14ac:dyDescent="0.2">
      <c r="A64">
        <v>266</v>
      </c>
      <c r="B64" t="s">
        <v>65</v>
      </c>
      <c r="C64" t="s">
        <v>4</v>
      </c>
      <c r="D64">
        <v>8</v>
      </c>
      <c r="E64">
        <v>421</v>
      </c>
      <c r="F64">
        <v>361</v>
      </c>
      <c r="G64">
        <v>396</v>
      </c>
      <c r="H64" s="50">
        <f t="shared" si="2"/>
        <v>-35</v>
      </c>
      <c r="I64" s="4">
        <v>0.57244655581947745</v>
      </c>
      <c r="J64">
        <v>241</v>
      </c>
      <c r="K64" s="34">
        <v>198942.26</v>
      </c>
      <c r="L64" s="34">
        <v>56916.22</v>
      </c>
      <c r="M64" s="34">
        <v>0</v>
      </c>
      <c r="N64" s="34">
        <v>71961.03</v>
      </c>
      <c r="O64" s="34">
        <v>6475.5</v>
      </c>
      <c r="P64" s="34">
        <v>79024.509999999995</v>
      </c>
      <c r="Q64" s="34">
        <v>60058.83</v>
      </c>
      <c r="R64" s="34">
        <v>102374.53</v>
      </c>
      <c r="S64" s="34">
        <v>113832.45</v>
      </c>
      <c r="T64" s="34">
        <v>227664.89</v>
      </c>
      <c r="U64" s="34">
        <v>0</v>
      </c>
      <c r="V64" s="34">
        <v>227664.89</v>
      </c>
      <c r="W64" s="34">
        <v>156665.71</v>
      </c>
      <c r="X64" s="34">
        <v>107514</v>
      </c>
      <c r="Y64" s="34">
        <v>0</v>
      </c>
      <c r="Z64" s="34">
        <v>0</v>
      </c>
      <c r="AA64" s="34">
        <v>539063.25</v>
      </c>
      <c r="AB64" s="34">
        <v>0</v>
      </c>
      <c r="AC64" s="34">
        <v>0</v>
      </c>
      <c r="AD64" s="34">
        <v>0</v>
      </c>
      <c r="AE64" s="34">
        <v>0</v>
      </c>
      <c r="AF64" s="34">
        <v>2156253</v>
      </c>
      <c r="AG64" s="34">
        <v>138930</v>
      </c>
      <c r="AH64" s="34">
        <v>113832.45</v>
      </c>
      <c r="AI64" s="34">
        <v>227664.89</v>
      </c>
      <c r="AJ64" s="34">
        <v>569162.23</v>
      </c>
      <c r="AK64" s="34">
        <v>341497.34</v>
      </c>
      <c r="AL64" s="34">
        <v>195832.13</v>
      </c>
      <c r="AM64" s="34">
        <v>0</v>
      </c>
      <c r="AN64" s="34">
        <v>0</v>
      </c>
      <c r="AO64" s="34">
        <v>0</v>
      </c>
      <c r="AP64" s="34">
        <v>103930.2</v>
      </c>
      <c r="AQ64" s="34">
        <v>0</v>
      </c>
      <c r="AR64" s="34">
        <v>113832.45</v>
      </c>
      <c r="AS64" s="34">
        <v>0</v>
      </c>
      <c r="AT64" s="34">
        <v>0</v>
      </c>
      <c r="AU64" s="34">
        <v>30462.3</v>
      </c>
      <c r="AV64" s="34">
        <v>34000</v>
      </c>
      <c r="AW64" s="34">
        <v>34000</v>
      </c>
      <c r="AX64" s="34">
        <v>10200</v>
      </c>
      <c r="AY64" s="34">
        <v>0</v>
      </c>
      <c r="AZ64" s="34">
        <v>27200</v>
      </c>
      <c r="BA64" s="34">
        <v>0</v>
      </c>
      <c r="BB64" s="34">
        <v>27200</v>
      </c>
      <c r="BC64" s="34">
        <v>215606.58</v>
      </c>
      <c r="BD64" s="34">
        <v>3472.89</v>
      </c>
      <c r="BE64" s="34">
        <v>0</v>
      </c>
      <c r="BF64" s="34">
        <v>0</v>
      </c>
      <c r="BG64" s="34">
        <v>0</v>
      </c>
      <c r="BH64" s="34">
        <v>0</v>
      </c>
      <c r="BI64" s="34">
        <v>0</v>
      </c>
      <c r="BJ64" s="34">
        <v>0</v>
      </c>
      <c r="BK64" s="34">
        <v>0</v>
      </c>
      <c r="BL64" s="34">
        <v>0</v>
      </c>
      <c r="BM64" s="34">
        <v>0</v>
      </c>
      <c r="BN64" s="34">
        <v>0</v>
      </c>
      <c r="BO64" s="34">
        <v>0</v>
      </c>
      <c r="BP64" s="34">
        <v>0</v>
      </c>
      <c r="BQ64" s="34">
        <v>0</v>
      </c>
      <c r="BR64" s="34">
        <v>0</v>
      </c>
      <c r="BS64" s="34">
        <v>0</v>
      </c>
      <c r="BT64" s="34">
        <v>0</v>
      </c>
      <c r="BU64" s="34">
        <v>15325</v>
      </c>
      <c r="BV64" s="34">
        <v>0</v>
      </c>
      <c r="BW64" s="34">
        <v>0</v>
      </c>
      <c r="BX64" s="34">
        <v>0</v>
      </c>
      <c r="BY64" s="34">
        <v>0</v>
      </c>
      <c r="BZ64" s="34">
        <v>0</v>
      </c>
      <c r="CA64" s="34">
        <v>646483.46</v>
      </c>
      <c r="CB64" s="34">
        <v>86727.96</v>
      </c>
      <c r="CC64" s="34">
        <v>232544.77</v>
      </c>
      <c r="CD64" s="34">
        <v>27831.47</v>
      </c>
      <c r="CE64" s="34">
        <v>0</v>
      </c>
      <c r="CF64" s="34">
        <v>0</v>
      </c>
      <c r="CJ64" s="28">
        <f t="shared" si="3"/>
        <v>7300147.1899999995</v>
      </c>
      <c r="CK64" s="28">
        <v>113832</v>
      </c>
      <c r="CL64" s="28">
        <f t="shared" ref="CL64:CL65" si="28">E64/400*CL$123</f>
        <v>166884.4</v>
      </c>
      <c r="CM64" s="34">
        <f t="shared" si="20"/>
        <v>92387</v>
      </c>
      <c r="CN64" s="34">
        <f t="shared" si="4"/>
        <v>50952.969121140137</v>
      </c>
      <c r="CQ64" s="28">
        <v>113832.45</v>
      </c>
      <c r="CR64" s="28">
        <v>113832.45</v>
      </c>
      <c r="CS64" s="28">
        <f>1.5*$CQ$123</f>
        <v>170748.67499999999</v>
      </c>
      <c r="CT64" s="34">
        <f>VLOOKUP($A64,'PosxSchpostCouncil 22'!$A$6:$DP$121,94,FALSE)*CT$123</f>
        <v>117499.29000000001</v>
      </c>
      <c r="CU64" s="28">
        <f>VLOOKUP($A64,'Gen ed tchrs'!A60:R175,18,FALSE)*CU$123</f>
        <v>2390481.4499999997</v>
      </c>
      <c r="CV64" s="28">
        <f>'Gen ed tchrs'!Z60*CV$123/2</f>
        <v>68904.204890624998</v>
      </c>
      <c r="DB64" s="28">
        <f t="shared" si="5"/>
        <v>3399354.8890117649</v>
      </c>
      <c r="DC64" s="28">
        <f t="shared" si="6"/>
        <v>2695316.25</v>
      </c>
      <c r="DD64" s="28">
        <f t="shared" si="21"/>
        <v>260376.24</v>
      </c>
      <c r="DE64" s="28">
        <f t="shared" si="7"/>
        <v>2955692.49</v>
      </c>
      <c r="DF64" s="6">
        <f t="shared" si="8"/>
        <v>-443662.39901176468</v>
      </c>
      <c r="DM64" s="34"/>
      <c r="DN64" s="34"/>
    </row>
    <row r="65" spans="1:118" x14ac:dyDescent="0.2">
      <c r="A65">
        <v>271</v>
      </c>
      <c r="B65" t="s">
        <v>64</v>
      </c>
      <c r="C65" t="s">
        <v>7</v>
      </c>
      <c r="D65">
        <v>6</v>
      </c>
      <c r="E65">
        <v>451</v>
      </c>
      <c r="F65">
        <v>353</v>
      </c>
      <c r="G65">
        <v>347</v>
      </c>
      <c r="H65" s="50">
        <f t="shared" si="2"/>
        <v>6</v>
      </c>
      <c r="I65" s="4">
        <v>0.23946784922394679</v>
      </c>
      <c r="J65">
        <v>108</v>
      </c>
      <c r="K65" s="34">
        <v>198942.26</v>
      </c>
      <c r="L65" s="34">
        <v>0</v>
      </c>
      <c r="M65" s="34">
        <v>0</v>
      </c>
      <c r="N65" s="34">
        <v>71961.03</v>
      </c>
      <c r="O65" s="34">
        <v>5766.05</v>
      </c>
      <c r="P65" s="34">
        <v>79024.509999999995</v>
      </c>
      <c r="Q65" s="34">
        <v>60058.83</v>
      </c>
      <c r="R65" s="34">
        <v>102374.53</v>
      </c>
      <c r="S65" s="34">
        <v>113832.45</v>
      </c>
      <c r="T65" s="34">
        <v>341497.34</v>
      </c>
      <c r="U65" s="34">
        <v>0</v>
      </c>
      <c r="V65" s="34">
        <v>341497.34</v>
      </c>
      <c r="W65" s="34">
        <v>234998.56</v>
      </c>
      <c r="X65" s="34">
        <v>175606.2</v>
      </c>
      <c r="Y65" s="34">
        <v>0</v>
      </c>
      <c r="Z65" s="34">
        <v>0</v>
      </c>
      <c r="AA65" s="34">
        <v>0</v>
      </c>
      <c r="AB65" s="34">
        <v>0</v>
      </c>
      <c r="AC65" s="34">
        <v>0</v>
      </c>
      <c r="AD65" s="34">
        <v>0</v>
      </c>
      <c r="AE65" s="34">
        <v>0</v>
      </c>
      <c r="AF65" s="34">
        <v>2108469</v>
      </c>
      <c r="AG65" s="34">
        <v>146575</v>
      </c>
      <c r="AH65" s="34">
        <v>113832.45</v>
      </c>
      <c r="AI65" s="34">
        <v>170748.67</v>
      </c>
      <c r="AJ65" s="34">
        <v>341497.34</v>
      </c>
      <c r="AK65" s="34">
        <v>341497.34</v>
      </c>
      <c r="AL65" s="34">
        <v>234998.56</v>
      </c>
      <c r="AM65" s="34">
        <v>0</v>
      </c>
      <c r="AN65" s="34">
        <v>0</v>
      </c>
      <c r="AO65" s="34">
        <v>0</v>
      </c>
      <c r="AP65" s="34">
        <v>98554.5</v>
      </c>
      <c r="AQ65" s="34">
        <v>0</v>
      </c>
      <c r="AR65" s="34">
        <v>56916.22</v>
      </c>
      <c r="AS65" s="34">
        <v>0</v>
      </c>
      <c r="AT65" s="34">
        <v>0</v>
      </c>
      <c r="AU65" s="34">
        <v>19710.900000000001</v>
      </c>
      <c r="AV65" s="34">
        <v>0</v>
      </c>
      <c r="AW65" s="34">
        <v>0</v>
      </c>
      <c r="AX65" s="34">
        <v>0</v>
      </c>
      <c r="AY65" s="34">
        <v>0</v>
      </c>
      <c r="AZ65" s="34">
        <v>0</v>
      </c>
      <c r="BA65" s="34">
        <v>0</v>
      </c>
      <c r="BB65" s="34">
        <v>0</v>
      </c>
      <c r="BC65" s="34">
        <v>0</v>
      </c>
      <c r="BD65" s="34">
        <v>0</v>
      </c>
      <c r="BE65" s="34">
        <v>11275</v>
      </c>
      <c r="BF65" s="34">
        <v>0</v>
      </c>
      <c r="BG65" s="34">
        <v>0</v>
      </c>
      <c r="BH65" s="34">
        <v>0</v>
      </c>
      <c r="BI65" s="34">
        <v>0</v>
      </c>
      <c r="BJ65" s="34">
        <v>0</v>
      </c>
      <c r="BK65" s="34">
        <v>0</v>
      </c>
      <c r="BL65" s="34">
        <v>0</v>
      </c>
      <c r="BM65" s="34">
        <v>0</v>
      </c>
      <c r="BN65" s="34">
        <v>0</v>
      </c>
      <c r="BO65" s="34">
        <v>0</v>
      </c>
      <c r="BP65" s="34">
        <v>0</v>
      </c>
      <c r="BQ65" s="34">
        <v>0</v>
      </c>
      <c r="BR65" s="34">
        <v>0</v>
      </c>
      <c r="BS65" s="34">
        <v>0</v>
      </c>
      <c r="BT65" s="34">
        <v>0</v>
      </c>
      <c r="BU65" s="34">
        <v>15325</v>
      </c>
      <c r="BV65" s="34">
        <v>0</v>
      </c>
      <c r="BW65" s="34">
        <v>0</v>
      </c>
      <c r="BX65" s="34">
        <v>0</v>
      </c>
      <c r="BY65" s="34">
        <v>0</v>
      </c>
      <c r="BZ65" s="34">
        <v>0</v>
      </c>
      <c r="CA65" s="34">
        <v>289710.43</v>
      </c>
      <c r="CB65" s="34">
        <v>0</v>
      </c>
      <c r="CC65" s="34">
        <v>190346.56</v>
      </c>
      <c r="CD65" s="34">
        <v>148318.73000000001</v>
      </c>
      <c r="CE65" s="34">
        <v>371078.18</v>
      </c>
      <c r="CF65" s="34">
        <v>0</v>
      </c>
      <c r="CJ65" s="28">
        <f t="shared" si="3"/>
        <v>6384412.9799999995</v>
      </c>
      <c r="CK65" s="28">
        <v>113832</v>
      </c>
      <c r="CL65" s="28">
        <f t="shared" si="28"/>
        <v>178776.4</v>
      </c>
      <c r="CM65" s="34">
        <f t="shared" si="20"/>
        <v>92387</v>
      </c>
      <c r="CN65" s="34">
        <f t="shared" si="4"/>
        <v>47563.636363636368</v>
      </c>
      <c r="CQ65" s="28">
        <f>IF('Gen ed tchrs'!$V61&gt;37,2*113832,IF('Gen ed tchrs'!$V61&gt;25,1.5*113832,113832))</f>
        <v>113832</v>
      </c>
      <c r="CR65" s="28">
        <f>IF('Gen ed tchrs'!$V61&gt;37,2*113832,IF('Gen ed tchrs'!$V61&gt;25,1.5*113832,113832))</f>
        <v>113832</v>
      </c>
      <c r="CS65" s="28">
        <f>IF('Gen ed tchrs'!$V61&gt;39.1,3.5*113832,IF('Gen ed tchrs'!$V61&gt;33.1,3*113832,IF('Gen ed tchrs'!$V61&gt;26.1,2.5*113832,IF('Gen ed tchrs'!$V61&gt;20.1,2*113832,IF('Gen ed tchrs'!$V61&gt;13.1,1.5*113832,113832)))))</f>
        <v>227664</v>
      </c>
      <c r="CT65" s="34">
        <f>VLOOKUP($A65,'PosxSchpostCouncil 22'!$A$6:$DP$121,94,FALSE)*CT$123</f>
        <v>117499.29000000001</v>
      </c>
      <c r="CU65" s="28">
        <f>VLOOKUP($A65,'Gen ed tchrs'!A61:R176,18,FALSE)*CU$123</f>
        <v>2048984.0999999999</v>
      </c>
      <c r="CV65" s="28">
        <f>'Gen ed tchrs'!Z61*CV$123/2</f>
        <v>65702.667234374996</v>
      </c>
      <c r="DB65" s="28">
        <f t="shared" si="5"/>
        <v>3120073.0935980114</v>
      </c>
      <c r="DC65" s="28">
        <f t="shared" si="6"/>
        <v>2108469</v>
      </c>
      <c r="DD65" s="28">
        <f t="shared" si="21"/>
        <v>709743.47</v>
      </c>
      <c r="DE65" s="28">
        <f t="shared" si="7"/>
        <v>2818212.4699999997</v>
      </c>
      <c r="DF65" s="6">
        <f t="shared" si="8"/>
        <v>-301860.62359801168</v>
      </c>
      <c r="DM65" s="34"/>
      <c r="DN65" s="34"/>
    </row>
    <row r="66" spans="1:118" x14ac:dyDescent="0.2">
      <c r="A66">
        <v>884</v>
      </c>
      <c r="B66" t="s">
        <v>63</v>
      </c>
      <c r="C66" t="s">
        <v>1</v>
      </c>
      <c r="D66">
        <v>5</v>
      </c>
      <c r="E66">
        <v>189</v>
      </c>
      <c r="F66">
        <v>189</v>
      </c>
      <c r="G66">
        <v>204</v>
      </c>
      <c r="H66" s="50">
        <f t="shared" si="2"/>
        <v>-15</v>
      </c>
      <c r="I66" s="4">
        <v>1</v>
      </c>
      <c r="J66">
        <v>189</v>
      </c>
      <c r="K66" s="34">
        <v>198942.26</v>
      </c>
      <c r="L66" s="34">
        <v>0</v>
      </c>
      <c r="M66" s="34">
        <v>128424.93</v>
      </c>
      <c r="N66" s="34">
        <v>71961.03</v>
      </c>
      <c r="O66" s="34">
        <v>8065.87</v>
      </c>
      <c r="P66" s="34">
        <v>79024.509999999995</v>
      </c>
      <c r="Q66" s="34">
        <v>60058.83</v>
      </c>
      <c r="R66" s="34">
        <v>102374.53</v>
      </c>
      <c r="S66" s="34">
        <v>113832.45</v>
      </c>
      <c r="T66" s="34">
        <v>0</v>
      </c>
      <c r="U66" s="34">
        <v>0</v>
      </c>
      <c r="V66" s="34">
        <v>0</v>
      </c>
      <c r="W66" s="34">
        <v>0</v>
      </c>
      <c r="X66" s="34">
        <v>0</v>
      </c>
      <c r="Y66" s="34">
        <v>0</v>
      </c>
      <c r="Z66" s="34">
        <v>0</v>
      </c>
      <c r="AA66" s="34">
        <v>0</v>
      </c>
      <c r="AB66" s="34">
        <v>341497.34</v>
      </c>
      <c r="AC66" s="34">
        <v>0</v>
      </c>
      <c r="AD66" s="34">
        <v>0</v>
      </c>
      <c r="AE66" s="34">
        <v>0</v>
      </c>
      <c r="AF66" s="34">
        <v>1128897</v>
      </c>
      <c r="AG66" s="34">
        <v>112077</v>
      </c>
      <c r="AH66" s="34">
        <v>113832.45</v>
      </c>
      <c r="AI66" s="34">
        <v>227664.89</v>
      </c>
      <c r="AJ66" s="34">
        <v>682994.68</v>
      </c>
      <c r="AK66" s="34">
        <v>227664.89</v>
      </c>
      <c r="AL66" s="34">
        <v>78332.850000000006</v>
      </c>
      <c r="AM66" s="34">
        <v>0</v>
      </c>
      <c r="AN66" s="34">
        <v>57558.06</v>
      </c>
      <c r="AO66" s="34">
        <v>0</v>
      </c>
      <c r="AP66" s="34">
        <v>96762.6</v>
      </c>
      <c r="AQ66" s="34">
        <v>0</v>
      </c>
      <c r="AR66" s="34">
        <v>0</v>
      </c>
      <c r="AS66" s="34">
        <v>5691.62</v>
      </c>
      <c r="AT66" s="34">
        <v>0</v>
      </c>
      <c r="AU66" s="34">
        <v>1791.9</v>
      </c>
      <c r="AV66" s="34">
        <v>0</v>
      </c>
      <c r="AW66" s="34">
        <v>0</v>
      </c>
      <c r="AX66" s="34">
        <v>0</v>
      </c>
      <c r="AY66" s="34">
        <v>70000</v>
      </c>
      <c r="AZ66" s="34">
        <v>0</v>
      </c>
      <c r="BA66" s="34">
        <v>0</v>
      </c>
      <c r="BB66" s="34">
        <v>0</v>
      </c>
      <c r="BC66" s="34">
        <v>102283.24</v>
      </c>
      <c r="BD66" s="34">
        <v>1647.53</v>
      </c>
      <c r="BE66" s="34">
        <v>0</v>
      </c>
      <c r="BF66" s="34">
        <v>0</v>
      </c>
      <c r="BG66" s="34">
        <v>0</v>
      </c>
      <c r="BH66" s="34">
        <v>0</v>
      </c>
      <c r="BI66" s="34">
        <v>0</v>
      </c>
      <c r="BJ66" s="34">
        <v>0</v>
      </c>
      <c r="BK66" s="34">
        <v>0</v>
      </c>
      <c r="BL66" s="34">
        <v>0</v>
      </c>
      <c r="BM66" s="34">
        <v>0</v>
      </c>
      <c r="BN66" s="34">
        <v>0</v>
      </c>
      <c r="BO66" s="34">
        <v>0</v>
      </c>
      <c r="BP66" s="34">
        <v>0</v>
      </c>
      <c r="BQ66" s="34">
        <v>0</v>
      </c>
      <c r="BR66" s="34">
        <v>0</v>
      </c>
      <c r="BS66" s="34">
        <v>0</v>
      </c>
      <c r="BT66" s="34">
        <v>0</v>
      </c>
      <c r="BU66" s="34">
        <v>0</v>
      </c>
      <c r="BV66" s="34">
        <v>0</v>
      </c>
      <c r="BW66" s="34">
        <v>0</v>
      </c>
      <c r="BX66" s="34">
        <v>0</v>
      </c>
      <c r="BY66" s="34">
        <v>0</v>
      </c>
      <c r="BZ66" s="34">
        <v>0</v>
      </c>
      <c r="CA66" s="34">
        <v>633741.56999999995</v>
      </c>
      <c r="CB66" s="34">
        <v>203201.46</v>
      </c>
      <c r="CC66" s="34">
        <v>0</v>
      </c>
      <c r="CD66" s="34">
        <v>0</v>
      </c>
      <c r="CE66" s="34">
        <v>0</v>
      </c>
      <c r="CF66" s="34">
        <v>0</v>
      </c>
      <c r="CJ66" s="28">
        <f t="shared" si="3"/>
        <v>4848323.4900000012</v>
      </c>
      <c r="CK66" s="28">
        <v>113832</v>
      </c>
      <c r="CL66" s="28">
        <f t="shared" ref="CL66:CL67" si="29">E66/300*CL$123</f>
        <v>99892.800000000003</v>
      </c>
      <c r="CM66" s="34">
        <f t="shared" si="20"/>
        <v>46193.5</v>
      </c>
      <c r="CN66" s="34">
        <f t="shared" si="4"/>
        <v>0</v>
      </c>
      <c r="CO66" s="28">
        <f>CO$123</f>
        <v>58500</v>
      </c>
      <c r="CP66" s="28">
        <f>CP$123</f>
        <v>70673</v>
      </c>
      <c r="CU66" s="28">
        <f>VLOOKUP($A66,'Gen ed tchrs'!A62:R177,18,FALSE)*CU$123</f>
        <v>1138324.5</v>
      </c>
      <c r="CV66" s="28">
        <f>'Gen ed tchrs'!Z62*CV$123/2</f>
        <v>143855.7586875</v>
      </c>
      <c r="DB66" s="28">
        <f t="shared" si="5"/>
        <v>1671271.5586875</v>
      </c>
      <c r="DC66" s="28">
        <f t="shared" si="6"/>
        <v>1128897</v>
      </c>
      <c r="DD66" s="28">
        <f t="shared" si="21"/>
        <v>0</v>
      </c>
      <c r="DE66" s="28">
        <f t="shared" si="7"/>
        <v>1128897</v>
      </c>
      <c r="DF66" s="6">
        <f t="shared" si="8"/>
        <v>-542374.55868749996</v>
      </c>
      <c r="DM66" s="34"/>
      <c r="DN66" s="34"/>
    </row>
    <row r="67" spans="1:118" x14ac:dyDescent="0.2">
      <c r="A67">
        <v>420</v>
      </c>
      <c r="B67" t="s">
        <v>62</v>
      </c>
      <c r="C67" t="s">
        <v>19</v>
      </c>
      <c r="D67">
        <v>4</v>
      </c>
      <c r="E67">
        <v>587</v>
      </c>
      <c r="F67">
        <v>587</v>
      </c>
      <c r="G67">
        <v>641</v>
      </c>
      <c r="H67" s="50">
        <f t="shared" si="2"/>
        <v>-54</v>
      </c>
      <c r="I67" s="4">
        <v>0.40715502555366268</v>
      </c>
      <c r="J67">
        <v>239</v>
      </c>
      <c r="K67" s="34">
        <v>198942.26</v>
      </c>
      <c r="L67" s="34">
        <v>170748.67</v>
      </c>
      <c r="M67" s="34">
        <v>0</v>
      </c>
      <c r="N67" s="34">
        <v>71961.03</v>
      </c>
      <c r="O67" s="34">
        <v>9294.2999999999993</v>
      </c>
      <c r="P67" s="34">
        <v>79024.509999999995</v>
      </c>
      <c r="Q67" s="34">
        <v>60058.83</v>
      </c>
      <c r="R67" s="34">
        <v>204749.06</v>
      </c>
      <c r="S67" s="34">
        <v>113832.45</v>
      </c>
      <c r="T67" s="34">
        <v>0</v>
      </c>
      <c r="U67" s="34">
        <v>0</v>
      </c>
      <c r="V67" s="34">
        <v>0</v>
      </c>
      <c r="W67" s="34">
        <v>0</v>
      </c>
      <c r="X67" s="34">
        <v>0</v>
      </c>
      <c r="Y67" s="34">
        <v>0</v>
      </c>
      <c r="Z67" s="34">
        <v>0</v>
      </c>
      <c r="AA67" s="34">
        <v>0</v>
      </c>
      <c r="AB67" s="34">
        <v>0</v>
      </c>
      <c r="AC67" s="34">
        <v>0</v>
      </c>
      <c r="AD67" s="34">
        <v>0</v>
      </c>
      <c r="AE67" s="34">
        <v>0</v>
      </c>
      <c r="AF67" s="34">
        <v>3506151</v>
      </c>
      <c r="AG67" s="34">
        <v>200754</v>
      </c>
      <c r="AH67" s="34">
        <v>113832.45</v>
      </c>
      <c r="AI67" s="34">
        <v>341497.34</v>
      </c>
      <c r="AJ67" s="34">
        <v>1138324.46</v>
      </c>
      <c r="AK67" s="34">
        <v>341497.34</v>
      </c>
      <c r="AL67" s="34">
        <v>117499.28</v>
      </c>
      <c r="AM67" s="34">
        <v>0</v>
      </c>
      <c r="AN67" s="34">
        <v>57558.06</v>
      </c>
      <c r="AO67" s="34">
        <v>0</v>
      </c>
      <c r="AP67" s="34">
        <v>186357.6</v>
      </c>
      <c r="AQ67" s="34">
        <v>0</v>
      </c>
      <c r="AR67" s="34">
        <v>1650570.47</v>
      </c>
      <c r="AS67" s="34">
        <v>0</v>
      </c>
      <c r="AT67" s="34">
        <v>39166.43</v>
      </c>
      <c r="AU67" s="34">
        <v>555489</v>
      </c>
      <c r="AV67" s="34">
        <v>0</v>
      </c>
      <c r="AW67" s="34">
        <v>0</v>
      </c>
      <c r="AX67" s="34">
        <v>0</v>
      </c>
      <c r="AY67" s="34">
        <v>0</v>
      </c>
      <c r="AZ67" s="34">
        <v>0</v>
      </c>
      <c r="BA67" s="34">
        <v>0</v>
      </c>
      <c r="BB67" s="34">
        <v>0</v>
      </c>
      <c r="BC67" s="34">
        <v>191361.66</v>
      </c>
      <c r="BD67" s="34">
        <v>3082.36</v>
      </c>
      <c r="BE67" s="34">
        <v>0</v>
      </c>
      <c r="BF67" s="34">
        <v>0</v>
      </c>
      <c r="BG67" s="34">
        <v>0</v>
      </c>
      <c r="BH67" s="34">
        <v>0</v>
      </c>
      <c r="BI67" s="34">
        <v>0</v>
      </c>
      <c r="BJ67" s="34">
        <v>0</v>
      </c>
      <c r="BK67" s="34">
        <v>0</v>
      </c>
      <c r="BL67" s="34">
        <v>0</v>
      </c>
      <c r="BM67" s="34">
        <v>119483.41</v>
      </c>
      <c r="BN67" s="34">
        <v>3000</v>
      </c>
      <c r="BO67" s="34">
        <v>0</v>
      </c>
      <c r="BP67" s="34">
        <v>53100</v>
      </c>
      <c r="BQ67" s="34">
        <v>0</v>
      </c>
      <c r="BR67" s="34">
        <v>0</v>
      </c>
      <c r="BS67" s="34">
        <v>0</v>
      </c>
      <c r="BT67" s="34">
        <v>0</v>
      </c>
      <c r="BU67" s="34">
        <v>0</v>
      </c>
      <c r="BV67" s="34">
        <v>0</v>
      </c>
      <c r="BW67" s="34">
        <v>55921</v>
      </c>
      <c r="BX67" s="34">
        <v>0</v>
      </c>
      <c r="BY67" s="34">
        <v>0</v>
      </c>
      <c r="BZ67" s="34">
        <v>0</v>
      </c>
      <c r="CA67" s="34">
        <v>641118.46</v>
      </c>
      <c r="CB67" s="34">
        <v>5017.32</v>
      </c>
      <c r="CC67" s="34">
        <v>0</v>
      </c>
      <c r="CD67" s="34">
        <v>25422.55</v>
      </c>
      <c r="CE67" s="34">
        <v>0</v>
      </c>
      <c r="CF67" s="34">
        <v>0</v>
      </c>
      <c r="CJ67" s="28">
        <f t="shared" si="3"/>
        <v>10254815.300000001</v>
      </c>
      <c r="CK67" s="28">
        <v>113832</v>
      </c>
      <c r="CL67" s="28">
        <f t="shared" si="29"/>
        <v>310249.06666666671</v>
      </c>
      <c r="CM67" s="34">
        <f t="shared" si="20"/>
        <v>92387</v>
      </c>
      <c r="CN67" s="34">
        <f t="shared" si="4"/>
        <v>36543.781942078363</v>
      </c>
      <c r="CU67" s="28">
        <f>VLOOKUP($A67,'Gen ed tchrs'!A63:R178,18,FALSE)*CU$123</f>
        <v>3528805.9499999997</v>
      </c>
      <c r="CV67" s="28">
        <f>'Gen ed tchrs'!Z63*CV$123/2</f>
        <v>87224.114812499989</v>
      </c>
      <c r="DB67" s="28">
        <f t="shared" si="5"/>
        <v>4169041.9134212444</v>
      </c>
      <c r="DC67" s="28">
        <f t="shared" si="6"/>
        <v>3506151</v>
      </c>
      <c r="DD67" s="28">
        <f t="shared" si="21"/>
        <v>25422.55</v>
      </c>
      <c r="DE67" s="28">
        <f t="shared" si="7"/>
        <v>3531573.55</v>
      </c>
      <c r="DF67" s="6">
        <f t="shared" si="8"/>
        <v>-637468.36342124455</v>
      </c>
      <c r="DM67" s="34"/>
      <c r="DN67" s="34"/>
    </row>
    <row r="68" spans="1:118" x14ac:dyDescent="0.2">
      <c r="A68">
        <v>308</v>
      </c>
      <c r="B68" t="s">
        <v>61</v>
      </c>
      <c r="C68" t="s">
        <v>7</v>
      </c>
      <c r="D68">
        <v>8</v>
      </c>
      <c r="E68">
        <v>199</v>
      </c>
      <c r="F68">
        <v>150</v>
      </c>
      <c r="G68">
        <v>177</v>
      </c>
      <c r="H68" s="50">
        <f t="shared" si="2"/>
        <v>-27</v>
      </c>
      <c r="I68" s="4">
        <v>0.81407035175879394</v>
      </c>
      <c r="J68">
        <v>162</v>
      </c>
      <c r="K68" s="34">
        <v>198942.26</v>
      </c>
      <c r="L68" s="34">
        <v>0</v>
      </c>
      <c r="M68" s="34">
        <v>0</v>
      </c>
      <c r="N68" s="34">
        <v>71961.03</v>
      </c>
      <c r="O68" s="34">
        <v>10416.5</v>
      </c>
      <c r="P68" s="34">
        <v>79024.509999999995</v>
      </c>
      <c r="Q68" s="34">
        <v>60058.83</v>
      </c>
      <c r="R68" s="34">
        <v>153561.79</v>
      </c>
      <c r="S68" s="34">
        <v>113832.45</v>
      </c>
      <c r="T68" s="34">
        <v>227664.89</v>
      </c>
      <c r="U68" s="34">
        <v>0</v>
      </c>
      <c r="V68" s="34">
        <v>227664.89</v>
      </c>
      <c r="W68" s="34">
        <v>156665.71</v>
      </c>
      <c r="X68" s="34">
        <v>87803.1</v>
      </c>
      <c r="Y68" s="34">
        <v>0</v>
      </c>
      <c r="Z68" s="34">
        <v>0</v>
      </c>
      <c r="AA68" s="34">
        <v>0</v>
      </c>
      <c r="AB68" s="34">
        <v>0</v>
      </c>
      <c r="AC68" s="34">
        <v>0</v>
      </c>
      <c r="AD68" s="34">
        <v>0</v>
      </c>
      <c r="AE68" s="34">
        <v>0</v>
      </c>
      <c r="AF68" s="34">
        <v>895950</v>
      </c>
      <c r="AG68" s="34">
        <v>64675</v>
      </c>
      <c r="AH68" s="34">
        <v>113832.45</v>
      </c>
      <c r="AI68" s="34">
        <v>341497.34</v>
      </c>
      <c r="AJ68" s="34">
        <v>341497.34</v>
      </c>
      <c r="AK68" s="34">
        <v>113832.45</v>
      </c>
      <c r="AL68" s="34">
        <v>39166.43</v>
      </c>
      <c r="AM68" s="34">
        <v>0</v>
      </c>
      <c r="AN68" s="34">
        <v>57558.06</v>
      </c>
      <c r="AO68" s="34">
        <v>0</v>
      </c>
      <c r="AP68" s="34">
        <v>48381.3</v>
      </c>
      <c r="AQ68" s="34">
        <v>0</v>
      </c>
      <c r="AR68" s="34">
        <v>0</v>
      </c>
      <c r="AS68" s="34">
        <v>10244.92</v>
      </c>
      <c r="AT68" s="34">
        <v>0</v>
      </c>
      <c r="AU68" s="34">
        <v>3583.8</v>
      </c>
      <c r="AV68" s="34">
        <v>20400</v>
      </c>
      <c r="AW68" s="34">
        <v>13600</v>
      </c>
      <c r="AX68" s="34">
        <v>10200</v>
      </c>
      <c r="AY68" s="34">
        <v>0</v>
      </c>
      <c r="AZ68" s="34">
        <v>20400</v>
      </c>
      <c r="BA68" s="34">
        <v>0</v>
      </c>
      <c r="BB68" s="34">
        <v>13600</v>
      </c>
      <c r="BC68" s="34">
        <v>107695.05</v>
      </c>
      <c r="BD68" s="34">
        <v>1734.7</v>
      </c>
      <c r="BE68" s="34">
        <v>0</v>
      </c>
      <c r="BF68" s="34">
        <v>0</v>
      </c>
      <c r="BG68" s="34">
        <v>0</v>
      </c>
      <c r="BH68" s="34">
        <v>0</v>
      </c>
      <c r="BI68" s="34">
        <v>0</v>
      </c>
      <c r="BJ68" s="34">
        <v>0</v>
      </c>
      <c r="BK68" s="34">
        <v>0</v>
      </c>
      <c r="BL68" s="34">
        <v>0</v>
      </c>
      <c r="BM68" s="34">
        <v>0</v>
      </c>
      <c r="BN68" s="34">
        <v>0</v>
      </c>
      <c r="BO68" s="34">
        <v>0</v>
      </c>
      <c r="BP68" s="34">
        <v>0</v>
      </c>
      <c r="BQ68" s="34">
        <v>0</v>
      </c>
      <c r="BR68" s="34">
        <v>0</v>
      </c>
      <c r="BS68" s="34">
        <v>0</v>
      </c>
      <c r="BT68" s="34">
        <v>0</v>
      </c>
      <c r="BU68" s="34">
        <v>15325</v>
      </c>
      <c r="BV68" s="34">
        <v>0</v>
      </c>
      <c r="BW68" s="34">
        <v>0</v>
      </c>
      <c r="BX68" s="34">
        <v>0</v>
      </c>
      <c r="BY68" s="34">
        <v>0</v>
      </c>
      <c r="BZ68" s="34">
        <v>0</v>
      </c>
      <c r="CA68" s="34">
        <v>434565.65</v>
      </c>
      <c r="CB68" s="34">
        <v>98435.04</v>
      </c>
      <c r="CC68" s="34">
        <v>0</v>
      </c>
      <c r="CD68" s="34">
        <v>147962.29999999999</v>
      </c>
      <c r="CE68" s="34">
        <v>399297.48</v>
      </c>
      <c r="CF68" s="34">
        <v>0</v>
      </c>
      <c r="CJ68" s="28">
        <f t="shared" si="3"/>
        <v>4701030.2699999996</v>
      </c>
      <c r="CK68" s="28">
        <v>113832</v>
      </c>
      <c r="CM68" s="34">
        <f t="shared" si="20"/>
        <v>46193.5</v>
      </c>
      <c r="CN68" s="34">
        <f t="shared" si="4"/>
        <v>0</v>
      </c>
      <c r="CQ68" s="28">
        <f>IF('Gen ed tchrs'!$V64&gt;37,2*113832,IF('Gen ed tchrs'!$V64&gt;25,1.5*113832,113832))</f>
        <v>113832</v>
      </c>
      <c r="CR68" s="28">
        <f>IF('Gen ed tchrs'!$V64&gt;37,2*113832,IF('Gen ed tchrs'!$V64&gt;25,1.5*113832,113832))</f>
        <v>113832</v>
      </c>
      <c r="CS68" s="28">
        <f>IF('Gen ed tchrs'!$V64&gt;39.1,3.5*113832,IF('Gen ed tchrs'!$V64&gt;33.1,3*113832,IF('Gen ed tchrs'!$V64&gt;26.1,2.5*113832,IF('Gen ed tchrs'!$V64&gt;20.1,2*113832,IF('Gen ed tchrs'!$V64&gt;13.1,1.5*113832,113832)))))</f>
        <v>113832</v>
      </c>
      <c r="CT68" s="34">
        <f>VLOOKUP($A68,'PosxSchpostCouncil 22'!$A$6:$DP$121,94,FALSE)*CT$123</f>
        <v>78332.86</v>
      </c>
      <c r="CU68" s="28">
        <f>VLOOKUP($A68,'Gen ed tchrs'!A64:R179,18,FALSE)*CU$123</f>
        <v>1024492.0499999999</v>
      </c>
      <c r="CV68" s="28">
        <f>'Gen ed tchrs'!Z64*CV$123/2</f>
        <v>56916.224999999999</v>
      </c>
      <c r="DB68" s="28">
        <f t="shared" si="5"/>
        <v>1661262.635</v>
      </c>
      <c r="DC68" s="28">
        <f t="shared" si="6"/>
        <v>895950</v>
      </c>
      <c r="DD68" s="28">
        <f t="shared" si="21"/>
        <v>547259.78</v>
      </c>
      <c r="DE68" s="28">
        <f t="shared" si="7"/>
        <v>1443209.78</v>
      </c>
      <c r="DF68" s="6">
        <f t="shared" si="8"/>
        <v>-218052.85499999998</v>
      </c>
      <c r="DM68" s="34"/>
      <c r="DN68" s="34"/>
    </row>
    <row r="69" spans="1:118" x14ac:dyDescent="0.2">
      <c r="A69">
        <v>273</v>
      </c>
      <c r="B69" t="s">
        <v>60</v>
      </c>
      <c r="C69" t="s">
        <v>7</v>
      </c>
      <c r="D69">
        <v>3</v>
      </c>
      <c r="E69">
        <v>367</v>
      </c>
      <c r="F69">
        <v>331</v>
      </c>
      <c r="G69">
        <v>364</v>
      </c>
      <c r="H69" s="50">
        <f t="shared" si="2"/>
        <v>-33</v>
      </c>
      <c r="I69" s="4">
        <v>2.4523160762942781E-2</v>
      </c>
      <c r="J69">
        <v>9</v>
      </c>
      <c r="K69" s="34">
        <v>198942.26</v>
      </c>
      <c r="L69" s="34">
        <v>0</v>
      </c>
      <c r="M69" s="34">
        <v>0</v>
      </c>
      <c r="N69" s="34">
        <v>71961.03</v>
      </c>
      <c r="O69" s="34">
        <v>5504.45</v>
      </c>
      <c r="P69" s="34">
        <v>79024.509999999995</v>
      </c>
      <c r="Q69" s="34">
        <v>60058.83</v>
      </c>
      <c r="R69" s="34">
        <v>102374.53</v>
      </c>
      <c r="S69" s="34">
        <v>113832.45</v>
      </c>
      <c r="T69" s="34">
        <v>0</v>
      </c>
      <c r="U69" s="34">
        <v>0</v>
      </c>
      <c r="V69" s="34">
        <v>227664.89</v>
      </c>
      <c r="W69" s="34">
        <v>78332.850000000006</v>
      </c>
      <c r="X69" s="34">
        <v>64508.4</v>
      </c>
      <c r="Y69" s="34">
        <v>0</v>
      </c>
      <c r="Z69" s="34">
        <v>0</v>
      </c>
      <c r="AA69" s="34">
        <v>0</v>
      </c>
      <c r="AB69" s="34">
        <v>0</v>
      </c>
      <c r="AC69" s="34">
        <v>0</v>
      </c>
      <c r="AD69" s="34">
        <v>0</v>
      </c>
      <c r="AE69" s="34">
        <v>0</v>
      </c>
      <c r="AF69" s="34">
        <v>1977063</v>
      </c>
      <c r="AG69" s="34">
        <v>119275</v>
      </c>
      <c r="AH69" s="34">
        <v>113832.45</v>
      </c>
      <c r="AI69" s="34">
        <v>113832.45</v>
      </c>
      <c r="AJ69" s="34">
        <v>341497.34</v>
      </c>
      <c r="AK69" s="34">
        <v>0</v>
      </c>
      <c r="AL69" s="34">
        <v>0</v>
      </c>
      <c r="AM69" s="34">
        <v>0</v>
      </c>
      <c r="AN69" s="34">
        <v>0</v>
      </c>
      <c r="AO69" s="34">
        <v>0</v>
      </c>
      <c r="AP69" s="34">
        <v>50173.2</v>
      </c>
      <c r="AQ69" s="34">
        <v>0</v>
      </c>
      <c r="AR69" s="34">
        <v>341497.34</v>
      </c>
      <c r="AS69" s="34">
        <v>0</v>
      </c>
      <c r="AT69" s="34">
        <v>0</v>
      </c>
      <c r="AU69" s="34">
        <v>100346.4</v>
      </c>
      <c r="AV69" s="34">
        <v>0</v>
      </c>
      <c r="AW69" s="34">
        <v>0</v>
      </c>
      <c r="AX69" s="34">
        <v>0</v>
      </c>
      <c r="AY69" s="34">
        <v>0</v>
      </c>
      <c r="AZ69" s="34">
        <v>0</v>
      </c>
      <c r="BA69" s="34">
        <v>0</v>
      </c>
      <c r="BB69" s="34">
        <v>0</v>
      </c>
      <c r="BC69" s="34">
        <v>0</v>
      </c>
      <c r="BD69" s="34">
        <v>0</v>
      </c>
      <c r="BE69" s="34">
        <v>9175</v>
      </c>
      <c r="BF69" s="34">
        <v>0</v>
      </c>
      <c r="BG69" s="34">
        <v>0</v>
      </c>
      <c r="BH69" s="34">
        <v>0</v>
      </c>
      <c r="BI69" s="34">
        <v>0</v>
      </c>
      <c r="BJ69" s="34">
        <v>0</v>
      </c>
      <c r="BK69" s="34">
        <v>0</v>
      </c>
      <c r="BL69" s="34">
        <v>0</v>
      </c>
      <c r="BM69" s="34">
        <v>0</v>
      </c>
      <c r="BN69" s="34">
        <v>0</v>
      </c>
      <c r="BO69" s="34">
        <v>0</v>
      </c>
      <c r="BP69" s="34">
        <v>0</v>
      </c>
      <c r="BQ69" s="34">
        <v>0</v>
      </c>
      <c r="BR69" s="34">
        <v>0</v>
      </c>
      <c r="BS69" s="34">
        <v>0</v>
      </c>
      <c r="BT69" s="34">
        <v>0</v>
      </c>
      <c r="BU69" s="34">
        <v>0</v>
      </c>
      <c r="BV69" s="34">
        <v>0</v>
      </c>
      <c r="BW69" s="34">
        <v>0</v>
      </c>
      <c r="BX69" s="34">
        <v>0</v>
      </c>
      <c r="BY69" s="34">
        <v>0</v>
      </c>
      <c r="BZ69" s="34">
        <v>0</v>
      </c>
      <c r="CA69" s="34">
        <v>24142.54</v>
      </c>
      <c r="CB69" s="34">
        <v>0</v>
      </c>
      <c r="CC69" s="34">
        <v>245377.21</v>
      </c>
      <c r="CD69" s="34">
        <v>136890.51999999999</v>
      </c>
      <c r="CE69" s="34">
        <v>138186.85</v>
      </c>
      <c r="CF69" s="34">
        <v>330941.28000000003</v>
      </c>
      <c r="CJ69" s="28">
        <f t="shared" si="3"/>
        <v>5044434.78</v>
      </c>
      <c r="CK69" s="28">
        <v>113832</v>
      </c>
      <c r="CL69" s="28">
        <f t="shared" ref="CL69:CL71" si="30">E69/400*CL$123</f>
        <v>145478.79999999999</v>
      </c>
      <c r="CM69" s="34">
        <f t="shared" si="20"/>
        <v>92387</v>
      </c>
      <c r="CN69" s="34">
        <f t="shared" si="4"/>
        <v>0</v>
      </c>
      <c r="CQ69" s="28">
        <f>IF('Gen ed tchrs'!$V65&gt;37,2*113832,IF('Gen ed tchrs'!$V65&gt;25,1.5*113832,113832))</f>
        <v>113832</v>
      </c>
      <c r="CR69" s="28">
        <f>IF('Gen ed tchrs'!$V65&gt;37,2*113832,IF('Gen ed tchrs'!$V65&gt;25,1.5*113832,113832))</f>
        <v>113832</v>
      </c>
      <c r="CS69" s="28">
        <f>IF('Gen ed tchrs'!$V65&gt;39.1,3.5*113832,IF('Gen ed tchrs'!$V65&gt;33.1,3*113832,IF('Gen ed tchrs'!$V65&gt;26.1,2.5*113832,IF('Gen ed tchrs'!$V65&gt;20.1,2*113832,IF('Gen ed tchrs'!$V65&gt;13.1,1.5*113832,113832)))))</f>
        <v>170748</v>
      </c>
      <c r="CT69" s="34">
        <f>VLOOKUP($A69,'PosxSchpostCouncil 22'!$A$6:$DP$121,94,FALSE)*CT$123</f>
        <v>117499.29000000001</v>
      </c>
      <c r="CU69" s="28">
        <f>VLOOKUP($A69,'Gen ed tchrs'!A65:R180,18,FALSE)*CU$123</f>
        <v>2048984.0999999999</v>
      </c>
      <c r="CV69" s="28">
        <f>'Gen ed tchrs'!Z65*CV$123/2</f>
        <v>74666.972671875003</v>
      </c>
      <c r="DB69" s="28">
        <f t="shared" si="5"/>
        <v>2991260.1626718747</v>
      </c>
      <c r="DC69" s="28">
        <f t="shared" si="6"/>
        <v>1977063</v>
      </c>
      <c r="DD69" s="28">
        <f t="shared" si="21"/>
        <v>851395.86</v>
      </c>
      <c r="DE69" s="28">
        <f t="shared" si="7"/>
        <v>2828458.86</v>
      </c>
      <c r="DF69" s="6">
        <f t="shared" si="8"/>
        <v>-162801.30267187487</v>
      </c>
      <c r="DM69" s="34"/>
      <c r="DN69" s="34"/>
    </row>
    <row r="70" spans="1:118" x14ac:dyDescent="0.2">
      <c r="A70">
        <v>284</v>
      </c>
      <c r="B70" t="s">
        <v>59</v>
      </c>
      <c r="C70" t="s">
        <v>7</v>
      </c>
      <c r="D70">
        <v>1</v>
      </c>
      <c r="E70">
        <v>439</v>
      </c>
      <c r="F70">
        <v>343</v>
      </c>
      <c r="G70">
        <v>359</v>
      </c>
      <c r="H70" s="50">
        <f t="shared" si="2"/>
        <v>-16</v>
      </c>
      <c r="I70" s="4">
        <v>0.27562642369020501</v>
      </c>
      <c r="J70">
        <v>121</v>
      </c>
      <c r="K70" s="34">
        <v>198942.26</v>
      </c>
      <c r="L70" s="34">
        <v>0</v>
      </c>
      <c r="M70" s="34">
        <v>0</v>
      </c>
      <c r="N70" s="34">
        <v>71961.03</v>
      </c>
      <c r="O70" s="34">
        <v>7106</v>
      </c>
      <c r="P70" s="34">
        <v>79024.509999999995</v>
      </c>
      <c r="Q70" s="34">
        <v>60058.83</v>
      </c>
      <c r="R70" s="34">
        <v>102374.53</v>
      </c>
      <c r="S70" s="34">
        <v>113832.45</v>
      </c>
      <c r="T70" s="34">
        <v>341497.34</v>
      </c>
      <c r="U70" s="34">
        <v>0</v>
      </c>
      <c r="V70" s="34">
        <v>341497.34</v>
      </c>
      <c r="W70" s="34">
        <v>234998.56</v>
      </c>
      <c r="X70" s="34">
        <v>172022.39999999999</v>
      </c>
      <c r="Y70" s="34">
        <v>0</v>
      </c>
      <c r="Z70" s="34">
        <v>0</v>
      </c>
      <c r="AA70" s="34">
        <v>0</v>
      </c>
      <c r="AB70" s="34">
        <v>0</v>
      </c>
      <c r="AC70" s="34">
        <v>0</v>
      </c>
      <c r="AD70" s="34">
        <v>0</v>
      </c>
      <c r="AE70" s="34">
        <v>0</v>
      </c>
      <c r="AF70" s="34">
        <v>2048739</v>
      </c>
      <c r="AG70" s="34">
        <v>142675</v>
      </c>
      <c r="AH70" s="34">
        <v>113832.45</v>
      </c>
      <c r="AI70" s="34">
        <v>455329.78</v>
      </c>
      <c r="AJ70" s="34">
        <v>455329.78</v>
      </c>
      <c r="AK70" s="34">
        <v>113832.45</v>
      </c>
      <c r="AL70" s="34">
        <v>39166.43</v>
      </c>
      <c r="AM70" s="34">
        <v>0</v>
      </c>
      <c r="AN70" s="34">
        <v>57558.06</v>
      </c>
      <c r="AO70" s="34">
        <v>0</v>
      </c>
      <c r="AP70" s="34">
        <v>105722.1</v>
      </c>
      <c r="AQ70" s="34">
        <v>0</v>
      </c>
      <c r="AR70" s="34">
        <v>1081408.24</v>
      </c>
      <c r="AS70" s="34">
        <v>0</v>
      </c>
      <c r="AT70" s="34">
        <v>0</v>
      </c>
      <c r="AU70" s="34">
        <v>358380</v>
      </c>
      <c r="AV70" s="34">
        <v>40800</v>
      </c>
      <c r="AW70" s="34">
        <v>40800</v>
      </c>
      <c r="AX70" s="34">
        <v>10200</v>
      </c>
      <c r="AY70" s="34">
        <v>0</v>
      </c>
      <c r="AZ70" s="34">
        <v>40800</v>
      </c>
      <c r="BA70" s="34">
        <v>0</v>
      </c>
      <c r="BB70" s="34">
        <v>40800</v>
      </c>
      <c r="BC70" s="34">
        <v>81393.649999999994</v>
      </c>
      <c r="BD70" s="34">
        <v>0</v>
      </c>
      <c r="BE70" s="34">
        <v>0</v>
      </c>
      <c r="BF70" s="34">
        <v>0</v>
      </c>
      <c r="BG70" s="34">
        <v>0</v>
      </c>
      <c r="BH70" s="34">
        <v>0</v>
      </c>
      <c r="BI70" s="34">
        <v>0</v>
      </c>
      <c r="BJ70" s="34">
        <v>0</v>
      </c>
      <c r="BK70" s="34">
        <v>0</v>
      </c>
      <c r="BL70" s="34">
        <v>0</v>
      </c>
      <c r="BM70" s="34">
        <v>0</v>
      </c>
      <c r="BN70" s="34">
        <v>0</v>
      </c>
      <c r="BO70" s="34">
        <v>0</v>
      </c>
      <c r="BP70" s="34">
        <v>48800</v>
      </c>
      <c r="BQ70" s="34">
        <v>113832.45</v>
      </c>
      <c r="BR70" s="34">
        <v>74970.559999999998</v>
      </c>
      <c r="BS70" s="34">
        <v>97600</v>
      </c>
      <c r="BT70" s="34">
        <v>5000</v>
      </c>
      <c r="BU70" s="34">
        <v>0</v>
      </c>
      <c r="BV70" s="34">
        <v>0</v>
      </c>
      <c r="BW70" s="34">
        <v>0</v>
      </c>
      <c r="BX70" s="34">
        <v>0</v>
      </c>
      <c r="BY70" s="34">
        <v>0</v>
      </c>
      <c r="BZ70" s="34">
        <v>0</v>
      </c>
      <c r="CA70" s="34">
        <v>324582.98</v>
      </c>
      <c r="CB70" s="34">
        <v>0</v>
      </c>
      <c r="CC70" s="34">
        <v>420715.02</v>
      </c>
      <c r="CD70" s="34">
        <v>240793.82</v>
      </c>
      <c r="CE70" s="34">
        <v>202387.73</v>
      </c>
      <c r="CF70" s="34">
        <v>176329.56</v>
      </c>
      <c r="CJ70" s="28">
        <f t="shared" si="3"/>
        <v>8655094.3100000005</v>
      </c>
      <c r="CK70" s="28">
        <v>113832</v>
      </c>
      <c r="CL70" s="28">
        <f t="shared" si="30"/>
        <v>174019.59999999998</v>
      </c>
      <c r="CM70" s="34">
        <f t="shared" ref="CM70:CM101" si="31">IF(E70&lt;300,0.5*CM$123,CM$123)</f>
        <v>92387</v>
      </c>
      <c r="CN70" s="34">
        <f t="shared" si="4"/>
        <v>48863.781321184506</v>
      </c>
      <c r="CQ70" s="28">
        <f>IF('Gen ed tchrs'!$V66&gt;37,2*113832,IF('Gen ed tchrs'!$V66&gt;25,1.5*113832,113832))</f>
        <v>170748</v>
      </c>
      <c r="CR70" s="28">
        <f>IF('Gen ed tchrs'!$V66&gt;37,2*113832,IF('Gen ed tchrs'!$V66&gt;25,1.5*113832,113832))</f>
        <v>170748</v>
      </c>
      <c r="CS70" s="28">
        <f>IF('Gen ed tchrs'!$V66&gt;39.1,3.5*113832,IF('Gen ed tchrs'!$V66&gt;33.1,3*113832,IF('Gen ed tchrs'!$V66&gt;26.1,2.5*113832,IF('Gen ed tchrs'!$V66&gt;20.1,2*113832,IF('Gen ed tchrs'!$V66&gt;13.1,1.5*113832,113832)))))</f>
        <v>227664</v>
      </c>
      <c r="CT70" s="34">
        <f>VLOOKUP($A70,'PosxSchpostCouncil 22'!$A$6:$DP$121,94,FALSE)*CT$123</f>
        <v>117499.29000000001</v>
      </c>
      <c r="CU70" s="28">
        <f>VLOOKUP($A70,'Gen ed tchrs'!A66:R181,18,FALSE)*CU$123</f>
        <v>2162816.5499999998</v>
      </c>
      <c r="CV70" s="28">
        <f>'Gen ed tchrs'!Z66*CV$123/2</f>
        <v>66983.282296875012</v>
      </c>
      <c r="DB70" s="28">
        <f t="shared" si="5"/>
        <v>3345561.5036180592</v>
      </c>
      <c r="DC70" s="28">
        <f t="shared" si="6"/>
        <v>2048739</v>
      </c>
      <c r="DD70" s="28">
        <f t="shared" ref="DD70:DD101" si="32">SUM(CC70:CF70)</f>
        <v>1040226.1300000001</v>
      </c>
      <c r="DE70" s="28">
        <f t="shared" si="7"/>
        <v>3088965.13</v>
      </c>
      <c r="DF70" s="6">
        <f t="shared" si="8"/>
        <v>-256596.37361805933</v>
      </c>
      <c r="DM70" s="34"/>
      <c r="DN70" s="34"/>
    </row>
    <row r="71" spans="1:118" x14ac:dyDescent="0.2">
      <c r="A71">
        <v>274</v>
      </c>
      <c r="B71" t="s">
        <v>58</v>
      </c>
      <c r="C71" t="s">
        <v>7</v>
      </c>
      <c r="D71">
        <v>6</v>
      </c>
      <c r="E71">
        <v>547</v>
      </c>
      <c r="F71">
        <v>464</v>
      </c>
      <c r="G71">
        <v>427</v>
      </c>
      <c r="H71" s="50">
        <f t="shared" ref="H71:H122" si="33">F71-G71</f>
        <v>37</v>
      </c>
      <c r="I71" s="4">
        <v>0.1170018281535649</v>
      </c>
      <c r="J71">
        <v>64</v>
      </c>
      <c r="K71" s="34">
        <v>198942.26</v>
      </c>
      <c r="L71" s="34">
        <v>0</v>
      </c>
      <c r="M71" s="34">
        <v>0</v>
      </c>
      <c r="N71" s="34">
        <v>71961.03</v>
      </c>
      <c r="O71" s="34">
        <v>4796</v>
      </c>
      <c r="P71" s="34">
        <v>79024.509999999995</v>
      </c>
      <c r="Q71" s="34">
        <v>60058.83</v>
      </c>
      <c r="R71" s="34">
        <v>153561.79</v>
      </c>
      <c r="S71" s="34">
        <v>113832.45</v>
      </c>
      <c r="T71" s="34">
        <v>227664.89</v>
      </c>
      <c r="U71" s="34">
        <v>113832.45</v>
      </c>
      <c r="V71" s="34">
        <v>227664.89</v>
      </c>
      <c r="W71" s="34">
        <v>195832.13</v>
      </c>
      <c r="X71" s="34">
        <v>148727.70000000001</v>
      </c>
      <c r="Y71" s="34">
        <v>0</v>
      </c>
      <c r="Z71" s="34">
        <v>0</v>
      </c>
      <c r="AA71" s="34">
        <v>0</v>
      </c>
      <c r="AB71" s="34">
        <v>0</v>
      </c>
      <c r="AC71" s="34">
        <v>0</v>
      </c>
      <c r="AD71" s="34">
        <v>0</v>
      </c>
      <c r="AE71" s="34">
        <v>0</v>
      </c>
      <c r="AF71" s="34">
        <v>2771472</v>
      </c>
      <c r="AG71" s="34">
        <v>177775</v>
      </c>
      <c r="AH71" s="34">
        <v>113832.45</v>
      </c>
      <c r="AI71" s="34">
        <v>113832.45</v>
      </c>
      <c r="AJ71" s="34">
        <v>341497.34</v>
      </c>
      <c r="AK71" s="34">
        <v>0</v>
      </c>
      <c r="AL71" s="34">
        <v>0</v>
      </c>
      <c r="AM71" s="34">
        <v>0</v>
      </c>
      <c r="AN71" s="34">
        <v>0</v>
      </c>
      <c r="AO71" s="34">
        <v>0</v>
      </c>
      <c r="AP71" s="34">
        <v>93178.8</v>
      </c>
      <c r="AQ71" s="34">
        <v>0</v>
      </c>
      <c r="AR71" s="34">
        <v>0</v>
      </c>
      <c r="AS71" s="34">
        <v>20489.84</v>
      </c>
      <c r="AT71" s="34">
        <v>0</v>
      </c>
      <c r="AU71" s="34">
        <v>7167.6</v>
      </c>
      <c r="AV71" s="34">
        <v>0</v>
      </c>
      <c r="AW71" s="34">
        <v>0</v>
      </c>
      <c r="AX71" s="34">
        <v>0</v>
      </c>
      <c r="AY71" s="34">
        <v>0</v>
      </c>
      <c r="AZ71" s="34">
        <v>0</v>
      </c>
      <c r="BA71" s="34">
        <v>0</v>
      </c>
      <c r="BB71" s="34">
        <v>0</v>
      </c>
      <c r="BC71" s="34">
        <v>0</v>
      </c>
      <c r="BD71" s="34">
        <v>0</v>
      </c>
      <c r="BE71" s="34">
        <v>13675</v>
      </c>
      <c r="BF71" s="34">
        <v>0</v>
      </c>
      <c r="BG71" s="34">
        <v>0</v>
      </c>
      <c r="BH71" s="34">
        <v>0</v>
      </c>
      <c r="BI71" s="34">
        <v>0</v>
      </c>
      <c r="BJ71" s="34">
        <v>0</v>
      </c>
      <c r="BK71" s="34">
        <v>0</v>
      </c>
      <c r="BL71" s="34">
        <v>0</v>
      </c>
      <c r="BM71" s="34">
        <v>0</v>
      </c>
      <c r="BN71" s="34">
        <v>0</v>
      </c>
      <c r="BO71" s="34">
        <v>0</v>
      </c>
      <c r="BP71" s="34">
        <v>0</v>
      </c>
      <c r="BQ71" s="34">
        <v>0</v>
      </c>
      <c r="BR71" s="34">
        <v>0</v>
      </c>
      <c r="BS71" s="34">
        <v>0</v>
      </c>
      <c r="BT71" s="34">
        <v>0</v>
      </c>
      <c r="BU71" s="34">
        <v>0</v>
      </c>
      <c r="BV71" s="34">
        <v>0</v>
      </c>
      <c r="BW71" s="34">
        <v>0</v>
      </c>
      <c r="BX71" s="34">
        <v>0</v>
      </c>
      <c r="BY71" s="34">
        <v>0</v>
      </c>
      <c r="BZ71" s="34">
        <v>0</v>
      </c>
      <c r="CA71" s="34">
        <v>171680.26</v>
      </c>
      <c r="CB71" s="34">
        <v>0</v>
      </c>
      <c r="CC71" s="34">
        <v>25997.91</v>
      </c>
      <c r="CD71" s="34">
        <v>220358.6</v>
      </c>
      <c r="CE71" s="34">
        <v>322034.90999999997</v>
      </c>
      <c r="CF71" s="34">
        <v>0</v>
      </c>
      <c r="CJ71" s="28">
        <f t="shared" ref="CJ71:CJ121" si="34">SUM(K71:CI71)</f>
        <v>5988891.0899999989</v>
      </c>
      <c r="CK71" s="28">
        <v>113832</v>
      </c>
      <c r="CL71" s="28">
        <f t="shared" si="30"/>
        <v>216830.8</v>
      </c>
      <c r="CM71" s="34">
        <f t="shared" si="31"/>
        <v>92387</v>
      </c>
      <c r="CN71" s="34">
        <f t="shared" ref="CN71:CN121" si="35">IF($E71&gt;400,400/$E71*CN$123,0)</f>
        <v>39216.087751371117</v>
      </c>
      <c r="CQ71" s="28">
        <f>IF('Gen ed tchrs'!$V67&gt;37,2*113832,IF('Gen ed tchrs'!$V67&gt;25,1.5*113832,113832))</f>
        <v>170748</v>
      </c>
      <c r="CR71" s="28">
        <f>IF('Gen ed tchrs'!$V67&gt;37,2*113832,IF('Gen ed tchrs'!$V67&gt;25,1.5*113832,113832))</f>
        <v>170748</v>
      </c>
      <c r="CS71" s="28">
        <f>IF('Gen ed tchrs'!$V67&gt;39.1,3.5*113832,IF('Gen ed tchrs'!$V67&gt;33.1,3*113832,IF('Gen ed tchrs'!$V67&gt;26.1,2.5*113832,IF('Gen ed tchrs'!$V67&gt;20.1,2*113832,IF('Gen ed tchrs'!$V67&gt;13.1,1.5*113832,113832)))))</f>
        <v>284580</v>
      </c>
      <c r="CT71" s="34">
        <f>VLOOKUP($A71,'PosxSchpostCouncil 22'!$A$6:$DP$121,94,FALSE)*CT$123</f>
        <v>156665.72</v>
      </c>
      <c r="CU71" s="28">
        <f>VLOOKUP($A71,'Gen ed tchrs'!A67:R182,18,FALSE)*CU$123</f>
        <v>2731978.8</v>
      </c>
      <c r="CV71" s="28">
        <f>'Gen ed tchrs'!Z67*CV$123/2</f>
        <v>55457.74673437501</v>
      </c>
      <c r="DB71" s="28">
        <f t="shared" ref="DB71:DB121" si="36">SUM(CK71:DA71)</f>
        <v>4032444.1544857463</v>
      </c>
      <c r="DC71" s="28">
        <f t="shared" ref="DC71:DC121" si="37">SUM(AA71,AF71, BV71)</f>
        <v>2771472</v>
      </c>
      <c r="DD71" s="28">
        <f t="shared" si="32"/>
        <v>568391.41999999993</v>
      </c>
      <c r="DE71" s="28">
        <f t="shared" ref="DE71:DE121" si="38">SUM(DC71:DD71)</f>
        <v>3339863.42</v>
      </c>
      <c r="DF71" s="6">
        <f t="shared" ref="DF71:DF122" si="39">DE71-DB71</f>
        <v>-692580.73448574636</v>
      </c>
      <c r="DM71" s="34"/>
      <c r="DN71" s="34"/>
    </row>
    <row r="72" spans="1:118" x14ac:dyDescent="0.2">
      <c r="A72">
        <v>435</v>
      </c>
      <c r="B72" t="s">
        <v>57</v>
      </c>
      <c r="C72" t="s">
        <v>19</v>
      </c>
      <c r="D72">
        <v>5</v>
      </c>
      <c r="E72">
        <v>281</v>
      </c>
      <c r="F72">
        <v>281</v>
      </c>
      <c r="G72">
        <v>300</v>
      </c>
      <c r="H72" s="50">
        <f t="shared" si="33"/>
        <v>-19</v>
      </c>
      <c r="I72" s="4">
        <v>0.61921708185053381</v>
      </c>
      <c r="J72">
        <v>174</v>
      </c>
      <c r="K72" s="34">
        <v>99471.13</v>
      </c>
      <c r="L72" s="34">
        <v>113832.45</v>
      </c>
      <c r="M72" s="34">
        <v>0</v>
      </c>
      <c r="N72" s="34">
        <v>71961.03</v>
      </c>
      <c r="O72" s="34">
        <v>7670.45</v>
      </c>
      <c r="P72" s="34">
        <v>79024.509999999995</v>
      </c>
      <c r="Q72" s="34">
        <v>60058.83</v>
      </c>
      <c r="R72" s="34">
        <v>102374.53</v>
      </c>
      <c r="S72" s="34">
        <v>113832.45</v>
      </c>
      <c r="T72" s="34">
        <v>0</v>
      </c>
      <c r="U72" s="34">
        <v>0</v>
      </c>
      <c r="V72" s="34">
        <v>0</v>
      </c>
      <c r="W72" s="34">
        <v>0</v>
      </c>
      <c r="X72" s="34">
        <v>0</v>
      </c>
      <c r="Y72" s="34">
        <v>0</v>
      </c>
      <c r="Z72" s="34">
        <v>0</v>
      </c>
      <c r="AA72" s="34">
        <v>0</v>
      </c>
      <c r="AB72" s="34">
        <v>0</v>
      </c>
      <c r="AC72" s="34">
        <v>0</v>
      </c>
      <c r="AD72" s="34">
        <v>0</v>
      </c>
      <c r="AE72" s="34">
        <v>0</v>
      </c>
      <c r="AF72" s="34">
        <v>1678413</v>
      </c>
      <c r="AG72" s="34">
        <v>96102</v>
      </c>
      <c r="AH72" s="34">
        <v>113832.45</v>
      </c>
      <c r="AI72" s="34">
        <v>341497.34</v>
      </c>
      <c r="AJ72" s="34">
        <v>569162.23</v>
      </c>
      <c r="AK72" s="34">
        <v>341497.34</v>
      </c>
      <c r="AL72" s="34">
        <v>117499.28</v>
      </c>
      <c r="AM72" s="34">
        <v>0</v>
      </c>
      <c r="AN72" s="34">
        <v>57558.06</v>
      </c>
      <c r="AO72" s="34">
        <v>0</v>
      </c>
      <c r="AP72" s="34">
        <v>157687.20000000001</v>
      </c>
      <c r="AQ72" s="34">
        <v>0</v>
      </c>
      <c r="AR72" s="34">
        <v>113832.45</v>
      </c>
      <c r="AS72" s="34">
        <v>0</v>
      </c>
      <c r="AT72" s="34">
        <v>0</v>
      </c>
      <c r="AU72" s="34">
        <v>23294.7</v>
      </c>
      <c r="AV72" s="34">
        <v>0</v>
      </c>
      <c r="AW72" s="34">
        <v>0</v>
      </c>
      <c r="AX72" s="34">
        <v>0</v>
      </c>
      <c r="AY72" s="34">
        <v>0</v>
      </c>
      <c r="AZ72" s="34">
        <v>0</v>
      </c>
      <c r="BA72" s="34">
        <v>0</v>
      </c>
      <c r="BB72" s="34">
        <v>0</v>
      </c>
      <c r="BC72" s="34">
        <v>137676.49</v>
      </c>
      <c r="BD72" s="34">
        <v>2217.63</v>
      </c>
      <c r="BE72" s="34">
        <v>0</v>
      </c>
      <c r="BF72" s="34">
        <v>0</v>
      </c>
      <c r="BG72" s="34">
        <v>0</v>
      </c>
      <c r="BH72" s="34">
        <v>0</v>
      </c>
      <c r="BI72" s="34">
        <v>0</v>
      </c>
      <c r="BJ72" s="34">
        <v>0</v>
      </c>
      <c r="BK72" s="34">
        <v>0</v>
      </c>
      <c r="BL72" s="34">
        <v>0</v>
      </c>
      <c r="BM72" s="34">
        <v>0</v>
      </c>
      <c r="BN72" s="34">
        <v>0</v>
      </c>
      <c r="BO72" s="34">
        <v>0</v>
      </c>
      <c r="BP72" s="34">
        <v>0</v>
      </c>
      <c r="BQ72" s="34">
        <v>0</v>
      </c>
      <c r="BR72" s="34">
        <v>0</v>
      </c>
      <c r="BS72" s="34">
        <v>0</v>
      </c>
      <c r="BT72" s="34">
        <v>0</v>
      </c>
      <c r="BU72" s="34">
        <v>0</v>
      </c>
      <c r="BV72" s="34">
        <v>0</v>
      </c>
      <c r="BW72" s="34">
        <v>0</v>
      </c>
      <c r="BX72" s="34">
        <v>0</v>
      </c>
      <c r="BY72" s="34">
        <v>0</v>
      </c>
      <c r="BZ72" s="34">
        <v>0</v>
      </c>
      <c r="CA72" s="34">
        <v>466755.7</v>
      </c>
      <c r="CB72" s="34">
        <v>73587.360000000001</v>
      </c>
      <c r="CC72" s="34">
        <v>104130.26</v>
      </c>
      <c r="CD72" s="34">
        <v>0</v>
      </c>
      <c r="CE72" s="34">
        <v>0</v>
      </c>
      <c r="CF72" s="34">
        <v>0</v>
      </c>
      <c r="CJ72" s="28">
        <f t="shared" si="34"/>
        <v>5042968.87</v>
      </c>
      <c r="CK72" s="28">
        <v>113832</v>
      </c>
      <c r="CL72" s="28">
        <f t="shared" ref="CL72:CL73" si="40">E72/300*CL$123</f>
        <v>148517.86666666667</v>
      </c>
      <c r="CM72" s="34">
        <f t="shared" si="31"/>
        <v>46193.5</v>
      </c>
      <c r="CN72" s="34">
        <f t="shared" si="35"/>
        <v>0</v>
      </c>
      <c r="CU72" s="28">
        <f>VLOOKUP($A72,'Gen ed tchrs'!A68:R183,18,FALSE)*CU$123</f>
        <v>1707486.75</v>
      </c>
      <c r="CV72" s="28">
        <f>'Gen ed tchrs'!Z68*CV$123/2</f>
        <v>130765.02693749999</v>
      </c>
      <c r="DB72" s="28">
        <f t="shared" si="36"/>
        <v>2146795.1436041668</v>
      </c>
      <c r="DC72" s="28">
        <f t="shared" si="37"/>
        <v>1678413</v>
      </c>
      <c r="DD72" s="28">
        <f t="shared" si="32"/>
        <v>104130.26</v>
      </c>
      <c r="DE72" s="28">
        <f t="shared" si="38"/>
        <v>1782543.26</v>
      </c>
      <c r="DF72" s="6">
        <f t="shared" si="39"/>
        <v>-364251.8836041668</v>
      </c>
      <c r="DM72" s="34"/>
      <c r="DN72" s="34"/>
    </row>
    <row r="73" spans="1:118" x14ac:dyDescent="0.2">
      <c r="A73">
        <v>458</v>
      </c>
      <c r="B73" t="s">
        <v>56</v>
      </c>
      <c r="C73" t="s">
        <v>1</v>
      </c>
      <c r="D73">
        <v>5</v>
      </c>
      <c r="E73">
        <v>702</v>
      </c>
      <c r="F73">
        <v>702</v>
      </c>
      <c r="G73">
        <v>696</v>
      </c>
      <c r="H73" s="50">
        <f t="shared" si="33"/>
        <v>6</v>
      </c>
      <c r="I73" s="4">
        <v>0.35612535612535612</v>
      </c>
      <c r="J73">
        <v>250</v>
      </c>
      <c r="K73" s="34">
        <v>99471.13</v>
      </c>
      <c r="L73" s="34">
        <v>0</v>
      </c>
      <c r="M73" s="34">
        <v>385274.79</v>
      </c>
      <c r="N73" s="34">
        <v>71961.03</v>
      </c>
      <c r="O73" s="34">
        <v>27090.54</v>
      </c>
      <c r="P73" s="34">
        <v>79024.509999999995</v>
      </c>
      <c r="Q73" s="34">
        <v>60058.83</v>
      </c>
      <c r="R73" s="34">
        <v>460685.38</v>
      </c>
      <c r="S73" s="34">
        <v>113832.45</v>
      </c>
      <c r="T73" s="34">
        <v>0</v>
      </c>
      <c r="U73" s="34">
        <v>0</v>
      </c>
      <c r="V73" s="34">
        <v>0</v>
      </c>
      <c r="W73" s="34">
        <v>0</v>
      </c>
      <c r="X73" s="34">
        <v>0</v>
      </c>
      <c r="Y73" s="34">
        <v>0</v>
      </c>
      <c r="Z73" s="34">
        <v>0</v>
      </c>
      <c r="AA73" s="34">
        <v>0</v>
      </c>
      <c r="AB73" s="34">
        <v>1024492.02</v>
      </c>
      <c r="AC73" s="34">
        <v>0</v>
      </c>
      <c r="AD73" s="34">
        <v>104263.14</v>
      </c>
      <c r="AE73" s="34">
        <v>113832.45</v>
      </c>
      <c r="AF73" s="34">
        <v>4193046</v>
      </c>
      <c r="AG73" s="34">
        <v>416286</v>
      </c>
      <c r="AH73" s="34">
        <v>113832.45</v>
      </c>
      <c r="AI73" s="34">
        <v>227664.89</v>
      </c>
      <c r="AJ73" s="34">
        <v>227664.89</v>
      </c>
      <c r="AK73" s="34">
        <v>0</v>
      </c>
      <c r="AL73" s="34">
        <v>0</v>
      </c>
      <c r="AM73" s="34">
        <v>0</v>
      </c>
      <c r="AN73" s="34">
        <v>0</v>
      </c>
      <c r="AO73" s="34">
        <v>0</v>
      </c>
      <c r="AP73" s="34">
        <v>28670.400000000001</v>
      </c>
      <c r="AQ73" s="34">
        <v>0</v>
      </c>
      <c r="AR73" s="34">
        <v>113832.45</v>
      </c>
      <c r="AS73" s="34">
        <v>0</v>
      </c>
      <c r="AT73" s="34">
        <v>0</v>
      </c>
      <c r="AU73" s="34">
        <v>19710.900000000001</v>
      </c>
      <c r="AV73" s="34">
        <v>0</v>
      </c>
      <c r="AW73" s="34">
        <v>0</v>
      </c>
      <c r="AX73" s="34">
        <v>0</v>
      </c>
      <c r="AY73" s="34">
        <v>0</v>
      </c>
      <c r="AZ73" s="34">
        <v>0</v>
      </c>
      <c r="BA73" s="34">
        <v>0</v>
      </c>
      <c r="BB73" s="34">
        <v>0</v>
      </c>
      <c r="BC73" s="34">
        <v>153262.51</v>
      </c>
      <c r="BD73" s="34">
        <v>2468.6799999999998</v>
      </c>
      <c r="BE73" s="34">
        <v>0</v>
      </c>
      <c r="BF73" s="34">
        <v>0</v>
      </c>
      <c r="BG73" s="34">
        <v>0</v>
      </c>
      <c r="BH73" s="34">
        <v>0</v>
      </c>
      <c r="BI73" s="34">
        <v>0</v>
      </c>
      <c r="BJ73" s="34">
        <v>0</v>
      </c>
      <c r="BK73" s="34">
        <v>0</v>
      </c>
      <c r="BL73" s="34">
        <v>0</v>
      </c>
      <c r="BM73" s="34">
        <v>0</v>
      </c>
      <c r="BN73" s="34">
        <v>0</v>
      </c>
      <c r="BO73" s="34">
        <v>0</v>
      </c>
      <c r="BP73" s="34">
        <v>0</v>
      </c>
      <c r="BQ73" s="34">
        <v>0</v>
      </c>
      <c r="BR73" s="34">
        <v>0</v>
      </c>
      <c r="BS73" s="34">
        <v>0</v>
      </c>
      <c r="BT73" s="34">
        <v>0</v>
      </c>
      <c r="BU73" s="34">
        <v>0</v>
      </c>
      <c r="BV73" s="34">
        <v>656092.98</v>
      </c>
      <c r="BW73" s="34">
        <v>0</v>
      </c>
      <c r="BX73" s="34">
        <v>443635.82</v>
      </c>
      <c r="BY73" s="34">
        <v>0</v>
      </c>
      <c r="BZ73" s="34">
        <v>131776.46</v>
      </c>
      <c r="CA73" s="34">
        <v>706169.18</v>
      </c>
      <c r="CB73" s="34">
        <v>0</v>
      </c>
      <c r="CC73" s="34">
        <v>0</v>
      </c>
      <c r="CD73" s="34">
        <v>0</v>
      </c>
      <c r="CE73" s="34">
        <v>0</v>
      </c>
      <c r="CF73" s="34">
        <v>0</v>
      </c>
      <c r="CJ73" s="28">
        <f t="shared" si="34"/>
        <v>9974099.8800000008</v>
      </c>
      <c r="CK73" s="28">
        <v>113832</v>
      </c>
      <c r="CL73" s="28">
        <f t="shared" si="40"/>
        <v>371030.39999999997</v>
      </c>
      <c r="CM73" s="34">
        <f t="shared" si="31"/>
        <v>92387</v>
      </c>
      <c r="CN73" s="34">
        <f t="shared" si="35"/>
        <v>30557.264957264957</v>
      </c>
      <c r="CO73" s="28">
        <f>CO$123</f>
        <v>58500</v>
      </c>
      <c r="CP73" s="28">
        <f>CP$123</f>
        <v>70673</v>
      </c>
      <c r="CU73" s="28">
        <f>VLOOKUP($A73,'Gen ed tchrs'!A69:R184,18,FALSE)*CU$123</f>
        <v>4780962.8999999994</v>
      </c>
      <c r="CV73" s="28">
        <f>'Gen ed tchrs'!Z69*CV$123/2</f>
        <v>70860.700125000003</v>
      </c>
      <c r="CW73" s="34">
        <v>119483</v>
      </c>
      <c r="DB73" s="28">
        <f t="shared" si="36"/>
        <v>5708286.2650822653</v>
      </c>
      <c r="DC73" s="28">
        <f t="shared" si="37"/>
        <v>4849138.9800000004</v>
      </c>
      <c r="DD73" s="28">
        <f t="shared" si="32"/>
        <v>0</v>
      </c>
      <c r="DE73" s="28">
        <f t="shared" si="38"/>
        <v>4849138.9800000004</v>
      </c>
      <c r="DF73" s="6">
        <f t="shared" si="39"/>
        <v>-859147.2850822648</v>
      </c>
      <c r="DM73" s="34"/>
      <c r="DN73" s="34"/>
    </row>
    <row r="74" spans="1:118" x14ac:dyDescent="0.2">
      <c r="A74">
        <v>1165</v>
      </c>
      <c r="B74" t="s">
        <v>55</v>
      </c>
      <c r="C74" t="s">
        <v>7</v>
      </c>
      <c r="D74">
        <v>4</v>
      </c>
      <c r="E74">
        <v>66</v>
      </c>
      <c r="F74">
        <v>0</v>
      </c>
      <c r="G74">
        <v>0</v>
      </c>
      <c r="H74" s="50">
        <f t="shared" si="33"/>
        <v>0</v>
      </c>
      <c r="I74" s="4">
        <v>0.27272727272727271</v>
      </c>
      <c r="J74">
        <v>18</v>
      </c>
      <c r="K74" s="34">
        <v>99471.13</v>
      </c>
      <c r="L74" s="34">
        <v>0</v>
      </c>
      <c r="M74" s="34">
        <v>0</v>
      </c>
      <c r="N74" s="34">
        <v>71961.03</v>
      </c>
      <c r="O74" s="34">
        <v>3898.9</v>
      </c>
      <c r="P74" s="34">
        <v>79024.509999999995</v>
      </c>
      <c r="Q74" s="34">
        <v>60058.83</v>
      </c>
      <c r="R74" s="34">
        <v>51187.26</v>
      </c>
      <c r="S74" s="34">
        <v>113832.45</v>
      </c>
      <c r="T74" s="34">
        <v>227664.89</v>
      </c>
      <c r="U74" s="34">
        <v>0</v>
      </c>
      <c r="V74" s="34">
        <v>227664.89</v>
      </c>
      <c r="W74" s="34">
        <v>156665.71</v>
      </c>
      <c r="X74" s="34">
        <v>118265.4</v>
      </c>
      <c r="Y74" s="34">
        <v>0</v>
      </c>
      <c r="Z74" s="34">
        <v>335085.3</v>
      </c>
      <c r="AA74" s="34">
        <v>0</v>
      </c>
      <c r="AB74" s="34">
        <v>0</v>
      </c>
      <c r="AC74" s="34">
        <v>0</v>
      </c>
      <c r="AD74" s="34">
        <v>0</v>
      </c>
      <c r="AE74" s="34">
        <v>0</v>
      </c>
      <c r="AF74" s="34">
        <v>0</v>
      </c>
      <c r="AG74" s="34">
        <v>21450</v>
      </c>
      <c r="AH74" s="34">
        <v>113832.45</v>
      </c>
      <c r="AI74" s="34">
        <v>113832.45</v>
      </c>
      <c r="AJ74" s="34">
        <v>227664.89</v>
      </c>
      <c r="AK74" s="34">
        <v>227664.89</v>
      </c>
      <c r="AL74" s="34">
        <v>156665.71</v>
      </c>
      <c r="AM74" s="34">
        <v>0</v>
      </c>
      <c r="AN74" s="34">
        <v>0</v>
      </c>
      <c r="AO74" s="34">
        <v>0</v>
      </c>
      <c r="AP74" s="34">
        <v>21502.799999999999</v>
      </c>
      <c r="AQ74" s="34">
        <v>0</v>
      </c>
      <c r="AR74" s="34">
        <v>113832.45</v>
      </c>
      <c r="AS74" s="34">
        <v>0</v>
      </c>
      <c r="AT74" s="34">
        <v>0</v>
      </c>
      <c r="AU74" s="34">
        <v>30462.3</v>
      </c>
      <c r="AV74" s="34">
        <v>0</v>
      </c>
      <c r="AW74" s="34">
        <v>0</v>
      </c>
      <c r="AX74" s="34">
        <v>0</v>
      </c>
      <c r="AY74" s="34">
        <v>0</v>
      </c>
      <c r="AZ74" s="34">
        <v>0</v>
      </c>
      <c r="BA74" s="34">
        <v>0</v>
      </c>
      <c r="BB74" s="34">
        <v>0</v>
      </c>
      <c r="BC74" s="34">
        <v>0</v>
      </c>
      <c r="BD74" s="34">
        <v>0</v>
      </c>
      <c r="BE74" s="34">
        <v>1650</v>
      </c>
      <c r="BF74" s="34">
        <v>0</v>
      </c>
      <c r="BG74" s="34">
        <v>0</v>
      </c>
      <c r="BH74" s="34">
        <v>0</v>
      </c>
      <c r="BI74" s="34">
        <v>0</v>
      </c>
      <c r="BJ74" s="34">
        <v>0</v>
      </c>
      <c r="BK74" s="34">
        <v>0</v>
      </c>
      <c r="BL74" s="34">
        <v>0</v>
      </c>
      <c r="BM74" s="34">
        <v>0</v>
      </c>
      <c r="BN74" s="34">
        <v>0</v>
      </c>
      <c r="BO74" s="34">
        <v>0</v>
      </c>
      <c r="BP74" s="34">
        <v>0</v>
      </c>
      <c r="BQ74" s="34">
        <v>0</v>
      </c>
      <c r="BR74" s="34">
        <v>0</v>
      </c>
      <c r="BS74" s="34">
        <v>0</v>
      </c>
      <c r="BT74" s="34">
        <v>0</v>
      </c>
      <c r="BU74" s="34">
        <v>0</v>
      </c>
      <c r="BV74" s="34">
        <v>0</v>
      </c>
      <c r="BW74" s="34">
        <v>0</v>
      </c>
      <c r="BX74" s="34">
        <v>0</v>
      </c>
      <c r="BY74" s="34">
        <v>0</v>
      </c>
      <c r="BZ74" s="34">
        <v>0</v>
      </c>
      <c r="CA74" s="34">
        <v>48285.07</v>
      </c>
      <c r="CB74" s="34">
        <v>0</v>
      </c>
      <c r="CC74" s="34">
        <v>0</v>
      </c>
      <c r="CD74" s="34">
        <v>0</v>
      </c>
      <c r="CE74" s="34">
        <v>162202.73000000001</v>
      </c>
      <c r="CF74" s="34">
        <v>0</v>
      </c>
      <c r="CJ74" s="28">
        <f t="shared" si="34"/>
        <v>2783826.0399999996</v>
      </c>
      <c r="CK74" s="28">
        <v>113832</v>
      </c>
      <c r="CM74" s="34">
        <f t="shared" si="31"/>
        <v>46193.5</v>
      </c>
      <c r="CN74" s="34">
        <f t="shared" si="35"/>
        <v>0</v>
      </c>
      <c r="CQ74" s="28">
        <f>IF('Gen ed tchrs'!$V70&gt;37,2*113832,IF('Gen ed tchrs'!$V70&gt;25,1.5*113832,113832))</f>
        <v>113832</v>
      </c>
      <c r="CR74" s="28">
        <f>IF('Gen ed tchrs'!$V70&gt;37,2*113832,IF('Gen ed tchrs'!$V70&gt;25,1.5*113832,113832))</f>
        <v>113832</v>
      </c>
      <c r="CS74" s="28">
        <f>IF('Gen ed tchrs'!$V70&gt;39.1,3.5*113832,IF('Gen ed tchrs'!$V70&gt;33.1,3*113832,IF('Gen ed tchrs'!$V70&gt;26.1,2.5*113832,IF('Gen ed tchrs'!$V70&gt;20.1,2*113832,IF('Gen ed tchrs'!$V70&gt;13.1,1.5*113832,113832)))))</f>
        <v>113832</v>
      </c>
      <c r="CT74" s="34">
        <f>VLOOKUP($A74,'PosxSchpostCouncil 22'!$A$6:$DP$121,94,FALSE)*CT$123</f>
        <v>0</v>
      </c>
      <c r="CU74" s="59" t="s">
        <v>34</v>
      </c>
      <c r="CV74" s="28">
        <f>'Gen ed tchrs'!Z70*CV$123/2</f>
        <v>-56916.224999999999</v>
      </c>
      <c r="DB74" s="28">
        <f t="shared" si="36"/>
        <v>444605.27500000002</v>
      </c>
      <c r="DC74" s="28">
        <f t="shared" si="37"/>
        <v>0</v>
      </c>
      <c r="DD74" s="28">
        <f t="shared" si="32"/>
        <v>162202.73000000001</v>
      </c>
      <c r="DE74" s="28">
        <f t="shared" si="38"/>
        <v>162202.73000000001</v>
      </c>
      <c r="DF74" s="6">
        <f t="shared" si="39"/>
        <v>-282402.54500000004</v>
      </c>
      <c r="DM74" s="34"/>
      <c r="DN74" s="34"/>
    </row>
    <row r="75" spans="1:118" x14ac:dyDescent="0.2">
      <c r="A75">
        <v>280</v>
      </c>
      <c r="B75" t="s">
        <v>54</v>
      </c>
      <c r="C75" t="s">
        <v>7</v>
      </c>
      <c r="D75">
        <v>6</v>
      </c>
      <c r="E75">
        <v>395</v>
      </c>
      <c r="F75">
        <v>283</v>
      </c>
      <c r="G75">
        <v>309</v>
      </c>
      <c r="H75" s="50">
        <f t="shared" si="33"/>
        <v>-26</v>
      </c>
      <c r="I75" s="4">
        <v>0.63797468354430376</v>
      </c>
      <c r="J75">
        <v>252</v>
      </c>
      <c r="K75" s="34">
        <v>198942.26</v>
      </c>
      <c r="L75" s="34">
        <v>0</v>
      </c>
      <c r="M75" s="34">
        <v>0</v>
      </c>
      <c r="N75" s="34">
        <v>71961.03</v>
      </c>
      <c r="O75" s="34">
        <v>7973.6</v>
      </c>
      <c r="P75" s="34">
        <v>79024.509999999995</v>
      </c>
      <c r="Q75" s="34">
        <v>60058.83</v>
      </c>
      <c r="R75" s="34">
        <v>153561.79</v>
      </c>
      <c r="S75" s="34">
        <v>113832.45</v>
      </c>
      <c r="T75" s="34">
        <v>341497.34</v>
      </c>
      <c r="U75" s="34">
        <v>113832.45</v>
      </c>
      <c r="V75" s="34">
        <v>455329.78</v>
      </c>
      <c r="W75" s="34">
        <v>313331.40999999997</v>
      </c>
      <c r="X75" s="34">
        <v>200692.8</v>
      </c>
      <c r="Y75" s="34">
        <v>0</v>
      </c>
      <c r="Z75" s="34">
        <v>0</v>
      </c>
      <c r="AA75" s="34">
        <v>0</v>
      </c>
      <c r="AB75" s="34">
        <v>0</v>
      </c>
      <c r="AC75" s="34">
        <v>0</v>
      </c>
      <c r="AD75" s="34">
        <v>0</v>
      </c>
      <c r="AE75" s="34">
        <v>0</v>
      </c>
      <c r="AF75" s="34">
        <v>1690359</v>
      </c>
      <c r="AG75" s="34">
        <v>128375</v>
      </c>
      <c r="AH75" s="34">
        <v>113832.45</v>
      </c>
      <c r="AI75" s="34">
        <v>227664.89</v>
      </c>
      <c r="AJ75" s="34">
        <v>455329.78</v>
      </c>
      <c r="AK75" s="34">
        <v>455329.78</v>
      </c>
      <c r="AL75" s="34">
        <v>234998.56</v>
      </c>
      <c r="AM75" s="34">
        <v>0</v>
      </c>
      <c r="AN75" s="34">
        <v>0</v>
      </c>
      <c r="AO75" s="34">
        <v>0</v>
      </c>
      <c r="AP75" s="34">
        <v>130808.7</v>
      </c>
      <c r="AQ75" s="34">
        <v>0</v>
      </c>
      <c r="AR75" s="34">
        <v>113832.45</v>
      </c>
      <c r="AS75" s="34">
        <v>0</v>
      </c>
      <c r="AT75" s="34">
        <v>0</v>
      </c>
      <c r="AU75" s="34">
        <v>30462.3</v>
      </c>
      <c r="AV75" s="34">
        <v>20400</v>
      </c>
      <c r="AW75" s="34">
        <v>20400</v>
      </c>
      <c r="AX75" s="34">
        <v>10200</v>
      </c>
      <c r="AY75" s="34">
        <v>0</v>
      </c>
      <c r="AZ75" s="34">
        <v>20400</v>
      </c>
      <c r="BA75" s="34">
        <v>0</v>
      </c>
      <c r="BB75" s="34">
        <v>20400</v>
      </c>
      <c r="BC75" s="34">
        <v>199154.67</v>
      </c>
      <c r="BD75" s="34">
        <v>3207.89</v>
      </c>
      <c r="BE75" s="34">
        <v>0</v>
      </c>
      <c r="BF75" s="34">
        <v>0</v>
      </c>
      <c r="BG75" s="34">
        <v>0</v>
      </c>
      <c r="BH75" s="34">
        <v>0</v>
      </c>
      <c r="BI75" s="34">
        <v>0</v>
      </c>
      <c r="BJ75" s="34">
        <v>0</v>
      </c>
      <c r="BK75" s="34">
        <v>0</v>
      </c>
      <c r="BL75" s="34">
        <v>0</v>
      </c>
      <c r="BM75" s="34">
        <v>0</v>
      </c>
      <c r="BN75" s="34">
        <v>0</v>
      </c>
      <c r="BO75" s="34">
        <v>0</v>
      </c>
      <c r="BP75" s="34">
        <v>0</v>
      </c>
      <c r="BQ75" s="34">
        <v>0</v>
      </c>
      <c r="BR75" s="34">
        <v>0</v>
      </c>
      <c r="BS75" s="34">
        <v>0</v>
      </c>
      <c r="BT75" s="34">
        <v>0</v>
      </c>
      <c r="BU75" s="34">
        <v>0</v>
      </c>
      <c r="BV75" s="34">
        <v>0</v>
      </c>
      <c r="BW75" s="34">
        <v>0</v>
      </c>
      <c r="BX75" s="34">
        <v>0</v>
      </c>
      <c r="BY75" s="34">
        <v>0</v>
      </c>
      <c r="BZ75" s="34">
        <v>0</v>
      </c>
      <c r="CA75" s="34">
        <v>675991.01</v>
      </c>
      <c r="CB75" s="34">
        <v>112292.4</v>
      </c>
      <c r="CC75" s="34">
        <v>227132.35</v>
      </c>
      <c r="CD75" s="34">
        <v>276931.84000000003</v>
      </c>
      <c r="CE75" s="34">
        <v>0</v>
      </c>
      <c r="CF75" s="34">
        <v>0</v>
      </c>
      <c r="CJ75" s="28">
        <f t="shared" si="34"/>
        <v>7277541.3199999994</v>
      </c>
      <c r="CK75" s="28">
        <v>113832</v>
      </c>
      <c r="CL75" s="28">
        <f>E75/400*CL$123</f>
        <v>156578</v>
      </c>
      <c r="CM75" s="34">
        <f t="shared" si="31"/>
        <v>92387</v>
      </c>
      <c r="CN75" s="34">
        <f t="shared" si="35"/>
        <v>0</v>
      </c>
      <c r="CQ75" s="28">
        <f>IF('Gen ed tchrs'!$V71&gt;37,2*113832,IF('Gen ed tchrs'!$V71&gt;25,1.5*113832,113832))</f>
        <v>113832</v>
      </c>
      <c r="CR75" s="28">
        <f>IF('Gen ed tchrs'!$V71&gt;37,2*113832,IF('Gen ed tchrs'!$V71&gt;25,1.5*113832,113832))</f>
        <v>113832</v>
      </c>
      <c r="CS75" s="28">
        <f>IF('Gen ed tchrs'!$V71&gt;39.1,3.5*113832,IF('Gen ed tchrs'!$V71&gt;33.1,3*113832,IF('Gen ed tchrs'!$V71&gt;26.1,2.5*113832,IF('Gen ed tchrs'!$V71&gt;20.1,2*113832,IF('Gen ed tchrs'!$V71&gt;13.1,1.5*113832,113832)))))</f>
        <v>227664</v>
      </c>
      <c r="CT75" s="34">
        <f>VLOOKUP($A75,'PosxSchpostCouncil 22'!$A$6:$DP$121,94,FALSE)*CT$123</f>
        <v>117499.29000000001</v>
      </c>
      <c r="CU75" s="28">
        <f>VLOOKUP($A75,'Gen ed tchrs'!A71:R186,18,FALSE)*CU$123</f>
        <v>1707486.75</v>
      </c>
      <c r="CV75" s="28">
        <f>'Gen ed tchrs'!Z71*CV$123/2</f>
        <v>14762.645859374994</v>
      </c>
      <c r="DB75" s="28">
        <f t="shared" si="36"/>
        <v>2657873.6858593752</v>
      </c>
      <c r="DC75" s="28">
        <f t="shared" si="37"/>
        <v>1690359</v>
      </c>
      <c r="DD75" s="28">
        <f t="shared" si="32"/>
        <v>504064.19000000006</v>
      </c>
      <c r="DE75" s="28">
        <f t="shared" si="38"/>
        <v>2194423.19</v>
      </c>
      <c r="DF75" s="6">
        <f t="shared" si="39"/>
        <v>-463450.49585937522</v>
      </c>
      <c r="DM75" s="34"/>
      <c r="DN75" s="34"/>
    </row>
    <row r="76" spans="1:118" x14ac:dyDescent="0.2">
      <c r="A76">
        <v>285</v>
      </c>
      <c r="B76" t="s">
        <v>53</v>
      </c>
      <c r="C76" t="s">
        <v>7</v>
      </c>
      <c r="D76">
        <v>8</v>
      </c>
      <c r="E76">
        <v>211</v>
      </c>
      <c r="F76">
        <v>143</v>
      </c>
      <c r="G76">
        <v>165</v>
      </c>
      <c r="H76" s="50">
        <f t="shared" si="33"/>
        <v>-22</v>
      </c>
      <c r="I76" s="4">
        <v>0.89573459715639814</v>
      </c>
      <c r="J76">
        <v>189</v>
      </c>
      <c r="K76" s="34">
        <v>198942.26</v>
      </c>
      <c r="L76" s="34">
        <v>0</v>
      </c>
      <c r="M76" s="34">
        <v>0</v>
      </c>
      <c r="N76" s="34">
        <v>71961.03</v>
      </c>
      <c r="O76" s="34">
        <v>7877.65</v>
      </c>
      <c r="P76" s="34">
        <v>79024.509999999995</v>
      </c>
      <c r="Q76" s="34">
        <v>60058.83</v>
      </c>
      <c r="R76" s="34">
        <v>102374.53</v>
      </c>
      <c r="S76" s="34">
        <v>113832.45</v>
      </c>
      <c r="T76" s="34">
        <v>227664.89</v>
      </c>
      <c r="U76" s="34">
        <v>113832.45</v>
      </c>
      <c r="V76" s="34">
        <v>227664.89</v>
      </c>
      <c r="W76" s="34">
        <v>195832.13</v>
      </c>
      <c r="X76" s="34">
        <v>121849.2</v>
      </c>
      <c r="Y76" s="34">
        <v>0</v>
      </c>
      <c r="Z76" s="34">
        <v>0</v>
      </c>
      <c r="AA76" s="34">
        <v>0</v>
      </c>
      <c r="AB76" s="34">
        <v>0</v>
      </c>
      <c r="AC76" s="34">
        <v>0</v>
      </c>
      <c r="AD76" s="34">
        <v>0</v>
      </c>
      <c r="AE76" s="34">
        <v>0</v>
      </c>
      <c r="AF76" s="34">
        <v>854139</v>
      </c>
      <c r="AG76" s="34">
        <v>68575</v>
      </c>
      <c r="AH76" s="34">
        <v>113832.45</v>
      </c>
      <c r="AI76" s="34">
        <v>113832.45</v>
      </c>
      <c r="AJ76" s="34">
        <v>341497.34</v>
      </c>
      <c r="AK76" s="34">
        <v>227664.89</v>
      </c>
      <c r="AL76" s="34">
        <v>156665.71</v>
      </c>
      <c r="AM76" s="34">
        <v>0</v>
      </c>
      <c r="AN76" s="34">
        <v>0</v>
      </c>
      <c r="AO76" s="34">
        <v>0</v>
      </c>
      <c r="AP76" s="34">
        <v>84219.3</v>
      </c>
      <c r="AQ76" s="34">
        <v>0</v>
      </c>
      <c r="AR76" s="34">
        <v>0</v>
      </c>
      <c r="AS76" s="34">
        <v>5691.62</v>
      </c>
      <c r="AT76" s="34">
        <v>0</v>
      </c>
      <c r="AU76" s="34">
        <v>1791.9</v>
      </c>
      <c r="AV76" s="34">
        <v>13600</v>
      </c>
      <c r="AW76" s="34">
        <v>13600</v>
      </c>
      <c r="AX76" s="34">
        <v>10200</v>
      </c>
      <c r="AY76" s="34">
        <v>0</v>
      </c>
      <c r="AZ76" s="34">
        <v>6800</v>
      </c>
      <c r="BA76" s="34">
        <v>0</v>
      </c>
      <c r="BB76" s="34">
        <v>6800</v>
      </c>
      <c r="BC76" s="34">
        <v>114189.23</v>
      </c>
      <c r="BD76" s="34">
        <v>1839.31</v>
      </c>
      <c r="BE76" s="34">
        <v>0</v>
      </c>
      <c r="BF76" s="34">
        <v>113832.45</v>
      </c>
      <c r="BG76" s="34">
        <v>0</v>
      </c>
      <c r="BH76" s="34">
        <v>0</v>
      </c>
      <c r="BI76" s="34">
        <v>0</v>
      </c>
      <c r="BJ76" s="34">
        <v>0</v>
      </c>
      <c r="BK76" s="34">
        <v>0</v>
      </c>
      <c r="BL76" s="34">
        <v>0</v>
      </c>
      <c r="BM76" s="34">
        <v>0</v>
      </c>
      <c r="BN76" s="34">
        <v>0</v>
      </c>
      <c r="BO76" s="34">
        <v>0</v>
      </c>
      <c r="BP76" s="34">
        <v>0</v>
      </c>
      <c r="BQ76" s="34">
        <v>0</v>
      </c>
      <c r="BR76" s="34">
        <v>0</v>
      </c>
      <c r="BS76" s="34">
        <v>0</v>
      </c>
      <c r="BT76" s="34">
        <v>0</v>
      </c>
      <c r="BU76" s="34">
        <v>0</v>
      </c>
      <c r="BV76" s="34">
        <v>0</v>
      </c>
      <c r="BW76" s="34">
        <v>0</v>
      </c>
      <c r="BX76" s="34">
        <v>0</v>
      </c>
      <c r="BY76" s="34">
        <v>0</v>
      </c>
      <c r="BZ76" s="34">
        <v>0</v>
      </c>
      <c r="CA76" s="34">
        <v>506993.26</v>
      </c>
      <c r="CB76" s="34">
        <v>124955.16</v>
      </c>
      <c r="CC76" s="34">
        <v>150291.89000000001</v>
      </c>
      <c r="CD76" s="34">
        <v>17551.63</v>
      </c>
      <c r="CE76" s="34">
        <v>232663.72</v>
      </c>
      <c r="CF76" s="34">
        <v>0</v>
      </c>
      <c r="CJ76" s="28">
        <f t="shared" si="34"/>
        <v>4802141.13</v>
      </c>
      <c r="CK76" s="28">
        <v>113832</v>
      </c>
      <c r="CM76" s="34">
        <f t="shared" si="31"/>
        <v>46193.5</v>
      </c>
      <c r="CN76" s="34">
        <f t="shared" si="35"/>
        <v>0</v>
      </c>
      <c r="CQ76" s="28">
        <f>IF('Gen ed tchrs'!$V72&gt;37,2*113832,IF('Gen ed tchrs'!$V72&gt;25,1.5*113832,113832))</f>
        <v>113832</v>
      </c>
      <c r="CR76" s="28">
        <f>IF('Gen ed tchrs'!$V72&gt;37,2*113832,IF('Gen ed tchrs'!$V72&gt;25,1.5*113832,113832))</f>
        <v>113832</v>
      </c>
      <c r="CS76" s="28">
        <f>IF('Gen ed tchrs'!$V72&gt;39.1,3.5*113832,IF('Gen ed tchrs'!$V72&gt;33.1,3*113832,IF('Gen ed tchrs'!$V72&gt;26.1,2.5*113832,IF('Gen ed tchrs'!$V72&gt;20.1,2*113832,IF('Gen ed tchrs'!$V72&gt;13.1,1.5*113832,113832)))))</f>
        <v>170748</v>
      </c>
      <c r="CT76" s="34">
        <f>VLOOKUP($A76,'PosxSchpostCouncil 22'!$A$6:$DP$121,94,FALSE)*CT$123</f>
        <v>78332.86</v>
      </c>
      <c r="CU76" s="28">
        <f>VLOOKUP($A76,'Gen ed tchrs'!A72:R187,18,FALSE)*CU$123</f>
        <v>1024492.0499999999</v>
      </c>
      <c r="CV76" s="28">
        <f>'Gen ed tchrs'!Z72*CV$123/2</f>
        <v>56916.224999999999</v>
      </c>
      <c r="DB76" s="28">
        <f t="shared" si="36"/>
        <v>1718178.635</v>
      </c>
      <c r="DC76" s="28">
        <f t="shared" si="37"/>
        <v>854139</v>
      </c>
      <c r="DD76" s="28">
        <f t="shared" si="32"/>
        <v>400507.24</v>
      </c>
      <c r="DE76" s="28">
        <f t="shared" si="38"/>
        <v>1254646.24</v>
      </c>
      <c r="DF76" s="6">
        <f t="shared" si="39"/>
        <v>-463532.39500000002</v>
      </c>
      <c r="DM76" s="34"/>
      <c r="DN76" s="34"/>
    </row>
    <row r="77" spans="1:118" x14ac:dyDescent="0.2">
      <c r="A77">
        <v>287</v>
      </c>
      <c r="B77" t="s">
        <v>52</v>
      </c>
      <c r="C77" t="s">
        <v>7</v>
      </c>
      <c r="D77">
        <v>3</v>
      </c>
      <c r="E77">
        <v>622</v>
      </c>
      <c r="F77">
        <v>559</v>
      </c>
      <c r="G77">
        <v>556</v>
      </c>
      <c r="H77" s="50">
        <f t="shared" si="33"/>
        <v>3</v>
      </c>
      <c r="I77" s="4">
        <v>5.7877813504823149E-2</v>
      </c>
      <c r="J77">
        <v>36</v>
      </c>
      <c r="K77" s="34">
        <v>198942.26</v>
      </c>
      <c r="L77" s="34">
        <v>0</v>
      </c>
      <c r="M77" s="34">
        <v>0</v>
      </c>
      <c r="N77" s="34">
        <v>71961.03</v>
      </c>
      <c r="O77" s="34">
        <v>8488.1</v>
      </c>
      <c r="P77" s="34">
        <v>79024.509999999995</v>
      </c>
      <c r="Q77" s="34">
        <v>60058.83</v>
      </c>
      <c r="R77" s="34">
        <v>204749.06</v>
      </c>
      <c r="S77" s="34">
        <v>113832.45</v>
      </c>
      <c r="T77" s="34">
        <v>0</v>
      </c>
      <c r="U77" s="34">
        <v>0</v>
      </c>
      <c r="V77" s="34">
        <v>341497.34</v>
      </c>
      <c r="W77" s="34">
        <v>117499.28</v>
      </c>
      <c r="X77" s="34">
        <v>112889.7</v>
      </c>
      <c r="Y77" s="34">
        <v>0</v>
      </c>
      <c r="Z77" s="34">
        <v>0</v>
      </c>
      <c r="AA77" s="34">
        <v>0</v>
      </c>
      <c r="AB77" s="34">
        <v>0</v>
      </c>
      <c r="AC77" s="34">
        <v>0</v>
      </c>
      <c r="AD77" s="34">
        <v>0</v>
      </c>
      <c r="AE77" s="34">
        <v>0</v>
      </c>
      <c r="AF77" s="34">
        <v>3338907</v>
      </c>
      <c r="AG77" s="34">
        <v>202150</v>
      </c>
      <c r="AH77" s="34">
        <v>113832.45</v>
      </c>
      <c r="AI77" s="34">
        <v>227664.89</v>
      </c>
      <c r="AJ77" s="34">
        <v>455329.78</v>
      </c>
      <c r="AK77" s="34">
        <v>455329.78</v>
      </c>
      <c r="AL77" s="34">
        <v>234998.56</v>
      </c>
      <c r="AM77" s="34">
        <v>0</v>
      </c>
      <c r="AN77" s="34">
        <v>0</v>
      </c>
      <c r="AO77" s="34">
        <v>0</v>
      </c>
      <c r="AP77" s="34">
        <v>87803.1</v>
      </c>
      <c r="AQ77" s="34">
        <v>0</v>
      </c>
      <c r="AR77" s="34">
        <v>455329.78</v>
      </c>
      <c r="AS77" s="34">
        <v>0</v>
      </c>
      <c r="AT77" s="34">
        <v>0</v>
      </c>
      <c r="AU77" s="34">
        <v>139768.20000000001</v>
      </c>
      <c r="AV77" s="34">
        <v>0</v>
      </c>
      <c r="AW77" s="34">
        <v>0</v>
      </c>
      <c r="AX77" s="34">
        <v>0</v>
      </c>
      <c r="AY77" s="34">
        <v>0</v>
      </c>
      <c r="AZ77" s="34">
        <v>0</v>
      </c>
      <c r="BA77" s="34">
        <v>0</v>
      </c>
      <c r="BB77" s="34">
        <v>0</v>
      </c>
      <c r="BC77" s="34">
        <v>0</v>
      </c>
      <c r="BD77" s="34">
        <v>0</v>
      </c>
      <c r="BE77" s="34">
        <v>15550</v>
      </c>
      <c r="BF77" s="34">
        <v>0</v>
      </c>
      <c r="BG77" s="34">
        <v>0</v>
      </c>
      <c r="BH77" s="34">
        <v>0</v>
      </c>
      <c r="BI77" s="34">
        <v>0</v>
      </c>
      <c r="BJ77" s="34">
        <v>0</v>
      </c>
      <c r="BK77" s="34">
        <v>0</v>
      </c>
      <c r="BL77" s="34">
        <v>0</v>
      </c>
      <c r="BM77" s="34">
        <v>0</v>
      </c>
      <c r="BN77" s="34">
        <v>0</v>
      </c>
      <c r="BO77" s="34">
        <v>0</v>
      </c>
      <c r="BP77" s="34">
        <v>0</v>
      </c>
      <c r="BQ77" s="34">
        <v>0</v>
      </c>
      <c r="BR77" s="34">
        <v>0</v>
      </c>
      <c r="BS77" s="34">
        <v>0</v>
      </c>
      <c r="BT77" s="34">
        <v>0</v>
      </c>
      <c r="BU77" s="34">
        <v>0</v>
      </c>
      <c r="BV77" s="34">
        <v>0</v>
      </c>
      <c r="BW77" s="34">
        <v>0</v>
      </c>
      <c r="BX77" s="34">
        <v>0</v>
      </c>
      <c r="BY77" s="34">
        <v>0</v>
      </c>
      <c r="BZ77" s="34">
        <v>0</v>
      </c>
      <c r="CA77" s="34">
        <v>96570.14</v>
      </c>
      <c r="CB77" s="34">
        <v>0</v>
      </c>
      <c r="CC77" s="34">
        <v>80653.88</v>
      </c>
      <c r="CD77" s="34">
        <v>248068.81</v>
      </c>
      <c r="CE77" s="34">
        <v>4710.3500000000004</v>
      </c>
      <c r="CF77" s="34">
        <v>0</v>
      </c>
      <c r="CJ77" s="28">
        <f t="shared" si="34"/>
        <v>7465609.2799999993</v>
      </c>
      <c r="CK77" s="28">
        <v>113832</v>
      </c>
      <c r="CL77" s="28">
        <f t="shared" ref="CL77" si="41">E77/400*CL$123</f>
        <v>246560.8</v>
      </c>
      <c r="CM77" s="34">
        <f t="shared" si="31"/>
        <v>92387</v>
      </c>
      <c r="CN77" s="34">
        <f t="shared" si="35"/>
        <v>34487.459807073952</v>
      </c>
      <c r="CQ77" s="28">
        <f>IF('Gen ed tchrs'!$V73&gt;37,2*113832,IF('Gen ed tchrs'!$V73&gt;25,1.5*113832,113832))</f>
        <v>170748</v>
      </c>
      <c r="CR77" s="28">
        <f>IF('Gen ed tchrs'!$V73&gt;37,2*113832,IF('Gen ed tchrs'!$V73&gt;25,1.5*113832,113832))</f>
        <v>170748</v>
      </c>
      <c r="CS77" s="28">
        <f>IF('Gen ed tchrs'!$V73&gt;39.1,3.5*113832,IF('Gen ed tchrs'!$V73&gt;33.1,3*113832,IF('Gen ed tchrs'!$V73&gt;26.1,2.5*113832,IF('Gen ed tchrs'!$V73&gt;20.1,2*113832,IF('Gen ed tchrs'!$V73&gt;13.1,1.5*113832,113832)))))</f>
        <v>284580</v>
      </c>
      <c r="CT77" s="34">
        <f>VLOOKUP($A77,'PosxSchpostCouncil 22'!$A$6:$DP$121,94,FALSE)*CT$123</f>
        <v>156665.72</v>
      </c>
      <c r="CU77" s="28">
        <f>VLOOKUP($A77,'Gen ed tchrs'!A73:R188,18,FALSE)*CU$123</f>
        <v>3187308.6</v>
      </c>
      <c r="CV77" s="28">
        <f>'Gen ed tchrs'!Z73*CV$123/2</f>
        <v>104370.12759375</v>
      </c>
      <c r="DB77" s="28">
        <f t="shared" si="36"/>
        <v>4561687.7074008239</v>
      </c>
      <c r="DC77" s="28">
        <f t="shared" si="37"/>
        <v>3338907</v>
      </c>
      <c r="DD77" s="28">
        <f t="shared" si="32"/>
        <v>333433.03999999998</v>
      </c>
      <c r="DE77" s="28">
        <f t="shared" si="38"/>
        <v>3672340.04</v>
      </c>
      <c r="DF77" s="6">
        <f t="shared" si="39"/>
        <v>-889347.66740082391</v>
      </c>
      <c r="DM77" s="34"/>
      <c r="DN77" s="34"/>
    </row>
    <row r="78" spans="1:118" x14ac:dyDescent="0.2">
      <c r="A78">
        <v>288</v>
      </c>
      <c r="B78" t="s">
        <v>51</v>
      </c>
      <c r="C78" t="s">
        <v>7</v>
      </c>
      <c r="D78">
        <v>7</v>
      </c>
      <c r="E78">
        <v>309</v>
      </c>
      <c r="F78">
        <v>225</v>
      </c>
      <c r="G78">
        <v>235</v>
      </c>
      <c r="H78" s="50">
        <f t="shared" si="33"/>
        <v>-10</v>
      </c>
      <c r="I78" s="4">
        <v>0.72491909385113273</v>
      </c>
      <c r="J78">
        <v>224</v>
      </c>
      <c r="K78" s="34">
        <v>198942.26</v>
      </c>
      <c r="L78" s="34">
        <v>0</v>
      </c>
      <c r="M78" s="34">
        <v>0</v>
      </c>
      <c r="N78" s="34">
        <v>71961.03</v>
      </c>
      <c r="O78" s="34">
        <v>5527.4</v>
      </c>
      <c r="P78" s="34">
        <v>79024.509999999995</v>
      </c>
      <c r="Q78" s="34">
        <v>60058.83</v>
      </c>
      <c r="R78" s="34">
        <v>102374.53</v>
      </c>
      <c r="S78" s="34">
        <v>113832.45</v>
      </c>
      <c r="T78" s="34">
        <v>0</v>
      </c>
      <c r="U78" s="34">
        <v>682994.68</v>
      </c>
      <c r="V78" s="34">
        <v>0</v>
      </c>
      <c r="W78" s="34">
        <v>234998.56</v>
      </c>
      <c r="X78" s="34">
        <v>150519.6</v>
      </c>
      <c r="Y78" s="34">
        <v>0</v>
      </c>
      <c r="Z78" s="34">
        <v>0</v>
      </c>
      <c r="AA78" s="34">
        <v>0</v>
      </c>
      <c r="AB78" s="34">
        <v>0</v>
      </c>
      <c r="AC78" s="34">
        <v>0</v>
      </c>
      <c r="AD78" s="34">
        <v>0</v>
      </c>
      <c r="AE78" s="34">
        <v>0</v>
      </c>
      <c r="AF78" s="34">
        <v>1343925</v>
      </c>
      <c r="AG78" s="34">
        <v>100425</v>
      </c>
      <c r="AH78" s="34">
        <v>113832.45</v>
      </c>
      <c r="AI78" s="34">
        <v>113832.45</v>
      </c>
      <c r="AJ78" s="34">
        <v>341497.34</v>
      </c>
      <c r="AK78" s="34">
        <v>341497.34</v>
      </c>
      <c r="AL78" s="34">
        <v>234998.56</v>
      </c>
      <c r="AM78" s="34">
        <v>0</v>
      </c>
      <c r="AN78" s="34">
        <v>0</v>
      </c>
      <c r="AO78" s="34">
        <v>0</v>
      </c>
      <c r="AP78" s="34">
        <v>116473.5</v>
      </c>
      <c r="AQ78" s="34">
        <v>0</v>
      </c>
      <c r="AR78" s="34">
        <v>227664.89</v>
      </c>
      <c r="AS78" s="34">
        <v>0</v>
      </c>
      <c r="AT78" s="34">
        <v>0</v>
      </c>
      <c r="AU78" s="34">
        <v>60924.6</v>
      </c>
      <c r="AV78" s="34">
        <v>0</v>
      </c>
      <c r="AW78" s="34">
        <v>0</v>
      </c>
      <c r="AX78" s="34">
        <v>0</v>
      </c>
      <c r="AY78" s="34">
        <v>0</v>
      </c>
      <c r="AZ78" s="34">
        <v>0</v>
      </c>
      <c r="BA78" s="34">
        <v>0</v>
      </c>
      <c r="BB78" s="34">
        <v>0</v>
      </c>
      <c r="BC78" s="34">
        <v>166250.85999999999</v>
      </c>
      <c r="BD78" s="34">
        <v>2677.89</v>
      </c>
      <c r="BE78" s="34">
        <v>0</v>
      </c>
      <c r="BF78" s="34">
        <v>0</v>
      </c>
      <c r="BG78" s="34">
        <v>0</v>
      </c>
      <c r="BH78" s="34">
        <v>0</v>
      </c>
      <c r="BI78" s="34">
        <v>0</v>
      </c>
      <c r="BJ78" s="34">
        <v>0</v>
      </c>
      <c r="BK78" s="34">
        <v>0</v>
      </c>
      <c r="BL78" s="34">
        <v>0</v>
      </c>
      <c r="BM78" s="34">
        <v>0</v>
      </c>
      <c r="BN78" s="34">
        <v>0</v>
      </c>
      <c r="BO78" s="34">
        <v>0</v>
      </c>
      <c r="BP78" s="34">
        <v>0</v>
      </c>
      <c r="BQ78" s="34">
        <v>0</v>
      </c>
      <c r="BR78" s="34">
        <v>0</v>
      </c>
      <c r="BS78" s="34">
        <v>0</v>
      </c>
      <c r="BT78" s="34">
        <v>0</v>
      </c>
      <c r="BU78" s="34">
        <v>0</v>
      </c>
      <c r="BV78" s="34">
        <v>0</v>
      </c>
      <c r="BW78" s="34">
        <v>0</v>
      </c>
      <c r="BX78" s="34">
        <v>0</v>
      </c>
      <c r="BY78" s="34">
        <v>0</v>
      </c>
      <c r="BZ78" s="34">
        <v>0</v>
      </c>
      <c r="CA78" s="34">
        <v>600880.9</v>
      </c>
      <c r="CB78" s="34">
        <v>119937.84</v>
      </c>
      <c r="CC78" s="34">
        <v>0</v>
      </c>
      <c r="CD78" s="34">
        <v>0</v>
      </c>
      <c r="CE78" s="34">
        <v>83167.520000000004</v>
      </c>
      <c r="CF78" s="34">
        <v>0</v>
      </c>
      <c r="CJ78" s="28">
        <f t="shared" si="34"/>
        <v>5668219.9899999993</v>
      </c>
      <c r="CK78" s="28">
        <v>113832</v>
      </c>
      <c r="CL78" s="28">
        <f>E78/400*CL$123</f>
        <v>122487.59999999999</v>
      </c>
      <c r="CM78" s="34">
        <f t="shared" si="31"/>
        <v>92387</v>
      </c>
      <c r="CN78" s="34">
        <f t="shared" si="35"/>
        <v>0</v>
      </c>
      <c r="CQ78" s="28">
        <f>IF('Gen ed tchrs'!$V74&gt;37,2*113832,IF('Gen ed tchrs'!$V74&gt;25,1.5*113832,113832))</f>
        <v>113832</v>
      </c>
      <c r="CR78" s="28">
        <f>IF('Gen ed tchrs'!$V74&gt;37,2*113832,IF('Gen ed tchrs'!$V74&gt;25,1.5*113832,113832))</f>
        <v>113832</v>
      </c>
      <c r="CS78" s="28">
        <f>IF('Gen ed tchrs'!$V74&gt;39.1,3.5*113832,IF('Gen ed tchrs'!$V74&gt;33.1,3*113832,IF('Gen ed tchrs'!$V74&gt;26.1,2.5*113832,IF('Gen ed tchrs'!$V74&gt;20.1,2*113832,IF('Gen ed tchrs'!$V74&gt;13.1,1.5*113832,113832)))))</f>
        <v>170748</v>
      </c>
      <c r="CT78" s="34">
        <f>VLOOKUP($A78,'PosxSchpostCouncil 22'!$A$6:$DP$121,94,FALSE)*CT$123</f>
        <v>78332.86</v>
      </c>
      <c r="CU78" s="28">
        <f>VLOOKUP($A78,'Gen ed tchrs'!A74:R189,18,FALSE)*CU$123</f>
        <v>1593654.3</v>
      </c>
      <c r="CV78" s="28">
        <f>'Gen ed tchrs'!Z74*CV$123/2</f>
        <v>23940.387140625</v>
      </c>
      <c r="DB78" s="28">
        <f t="shared" si="36"/>
        <v>2423046.1471406249</v>
      </c>
      <c r="DC78" s="28">
        <f t="shared" si="37"/>
        <v>1343925</v>
      </c>
      <c r="DD78" s="28">
        <f t="shared" si="32"/>
        <v>83167.520000000004</v>
      </c>
      <c r="DE78" s="28">
        <f t="shared" si="38"/>
        <v>1427092.52</v>
      </c>
      <c r="DF78" s="6">
        <f t="shared" si="39"/>
        <v>-995953.62714062491</v>
      </c>
      <c r="DM78" s="34"/>
      <c r="DN78" s="34"/>
    </row>
    <row r="79" spans="1:118" x14ac:dyDescent="0.2">
      <c r="A79">
        <v>290</v>
      </c>
      <c r="B79" t="s">
        <v>50</v>
      </c>
      <c r="C79" t="s">
        <v>7</v>
      </c>
      <c r="D79">
        <v>5</v>
      </c>
      <c r="E79">
        <v>264</v>
      </c>
      <c r="F79">
        <v>215</v>
      </c>
      <c r="G79">
        <v>175</v>
      </c>
      <c r="H79" s="50">
        <f t="shared" si="33"/>
        <v>40</v>
      </c>
      <c r="I79" s="4">
        <v>0.69696969696969702</v>
      </c>
      <c r="J79">
        <v>184</v>
      </c>
      <c r="K79" s="34">
        <v>198942.26</v>
      </c>
      <c r="L79" s="34">
        <v>0</v>
      </c>
      <c r="M79" s="34">
        <v>0</v>
      </c>
      <c r="N79" s="34">
        <v>71961.03</v>
      </c>
      <c r="O79" s="34">
        <v>5031</v>
      </c>
      <c r="P79" s="34">
        <v>79024.509999999995</v>
      </c>
      <c r="Q79" s="34">
        <v>60058.83</v>
      </c>
      <c r="R79" s="34">
        <v>51187.26</v>
      </c>
      <c r="S79" s="34">
        <v>113832.45</v>
      </c>
      <c r="T79" s="34">
        <v>227664.89</v>
      </c>
      <c r="U79" s="34">
        <v>113832.45</v>
      </c>
      <c r="V79" s="34">
        <v>113832.45</v>
      </c>
      <c r="W79" s="34">
        <v>156665.71</v>
      </c>
      <c r="X79" s="34">
        <v>87803.1</v>
      </c>
      <c r="Y79" s="34">
        <v>0</v>
      </c>
      <c r="Z79" s="34">
        <v>0</v>
      </c>
      <c r="AA79" s="34">
        <v>0</v>
      </c>
      <c r="AB79" s="34">
        <v>0</v>
      </c>
      <c r="AC79" s="34">
        <v>0</v>
      </c>
      <c r="AD79" s="34">
        <v>0</v>
      </c>
      <c r="AE79" s="34">
        <v>0</v>
      </c>
      <c r="AF79" s="34">
        <v>1284195</v>
      </c>
      <c r="AG79" s="34">
        <v>85800</v>
      </c>
      <c r="AH79" s="34">
        <v>113832.45</v>
      </c>
      <c r="AI79" s="34">
        <v>113832.45</v>
      </c>
      <c r="AJ79" s="34">
        <v>341497.34</v>
      </c>
      <c r="AK79" s="34">
        <v>455329.78</v>
      </c>
      <c r="AL79" s="34">
        <v>234998.56</v>
      </c>
      <c r="AM79" s="34">
        <v>0</v>
      </c>
      <c r="AN79" s="34">
        <v>0</v>
      </c>
      <c r="AO79" s="34">
        <v>0</v>
      </c>
      <c r="AP79" s="34">
        <v>86011.199999999997</v>
      </c>
      <c r="AQ79" s="34">
        <v>0</v>
      </c>
      <c r="AR79" s="34">
        <v>227664.89</v>
      </c>
      <c r="AS79" s="34">
        <v>0</v>
      </c>
      <c r="AT79" s="34">
        <v>0</v>
      </c>
      <c r="AU79" s="34">
        <v>60924.6</v>
      </c>
      <c r="AV79" s="34">
        <v>13600</v>
      </c>
      <c r="AW79" s="34">
        <v>13600</v>
      </c>
      <c r="AX79" s="34">
        <v>10200</v>
      </c>
      <c r="AY79" s="34">
        <v>0</v>
      </c>
      <c r="AZ79" s="34">
        <v>13600</v>
      </c>
      <c r="BA79" s="34">
        <v>0</v>
      </c>
      <c r="BB79" s="34">
        <v>13600</v>
      </c>
      <c r="BC79" s="34">
        <v>142871.82999999999</v>
      </c>
      <c r="BD79" s="34">
        <v>2301.31</v>
      </c>
      <c r="BE79" s="34">
        <v>0</v>
      </c>
      <c r="BF79" s="34">
        <v>0</v>
      </c>
      <c r="BG79" s="34">
        <v>0</v>
      </c>
      <c r="BH79" s="34">
        <v>0</v>
      </c>
      <c r="BI79" s="34">
        <v>0</v>
      </c>
      <c r="BJ79" s="34">
        <v>0</v>
      </c>
      <c r="BK79" s="34">
        <v>0</v>
      </c>
      <c r="BL79" s="34">
        <v>0</v>
      </c>
      <c r="BM79" s="34">
        <v>0</v>
      </c>
      <c r="BN79" s="34">
        <v>0</v>
      </c>
      <c r="BO79" s="34">
        <v>0</v>
      </c>
      <c r="BP79" s="34">
        <v>0</v>
      </c>
      <c r="BQ79" s="34">
        <v>0</v>
      </c>
      <c r="BR79" s="34">
        <v>0</v>
      </c>
      <c r="BS79" s="34">
        <v>0</v>
      </c>
      <c r="BT79" s="34">
        <v>0</v>
      </c>
      <c r="BU79" s="34">
        <v>15325</v>
      </c>
      <c r="BV79" s="34">
        <v>0</v>
      </c>
      <c r="BW79" s="34">
        <v>0</v>
      </c>
      <c r="BX79" s="34">
        <v>0</v>
      </c>
      <c r="BY79" s="34">
        <v>0</v>
      </c>
      <c r="BZ79" s="34">
        <v>0</v>
      </c>
      <c r="CA79" s="34">
        <v>493580.74</v>
      </c>
      <c r="CB79" s="34">
        <v>93656.639999999999</v>
      </c>
      <c r="CC79" s="34">
        <v>0</v>
      </c>
      <c r="CD79" s="34">
        <v>0</v>
      </c>
      <c r="CE79" s="34">
        <v>148525.07</v>
      </c>
      <c r="CF79" s="34">
        <v>0</v>
      </c>
      <c r="CJ79" s="28">
        <f t="shared" si="34"/>
        <v>5244782.8000000007</v>
      </c>
      <c r="CK79" s="28">
        <v>113832</v>
      </c>
      <c r="CM79" s="34">
        <f t="shared" si="31"/>
        <v>46193.5</v>
      </c>
      <c r="CN79" s="34">
        <f t="shared" si="35"/>
        <v>0</v>
      </c>
      <c r="CQ79" s="28">
        <f>IF('Gen ed tchrs'!$V75&gt;37,2*113832,IF('Gen ed tchrs'!$V75&gt;25,1.5*113832,113832))</f>
        <v>113832</v>
      </c>
      <c r="CR79" s="28">
        <f>IF('Gen ed tchrs'!$V75&gt;37,2*113832,IF('Gen ed tchrs'!$V75&gt;25,1.5*113832,113832))</f>
        <v>113832</v>
      </c>
      <c r="CS79" s="28">
        <f>IF('Gen ed tchrs'!$V75&gt;39.1,3.5*113832,IF('Gen ed tchrs'!$V75&gt;33.1,3*113832,IF('Gen ed tchrs'!$V75&gt;26.1,2.5*113832,IF('Gen ed tchrs'!$V75&gt;20.1,2*113832,IF('Gen ed tchrs'!$V75&gt;13.1,1.5*113832,113832)))))</f>
        <v>170748</v>
      </c>
      <c r="CT79" s="34">
        <f>VLOOKUP($A79,'PosxSchpostCouncil 22'!$A$6:$DP$121,94,FALSE)*CT$123</f>
        <v>78332.86</v>
      </c>
      <c r="CU79" s="28">
        <f>VLOOKUP($A79,'Gen ed tchrs'!A75:R190,18,FALSE)*CU$123</f>
        <v>1479821.8499999999</v>
      </c>
      <c r="CV79" s="28">
        <f>'Gen ed tchrs'!Z75*CV$123/2</f>
        <v>56916.224999999999</v>
      </c>
      <c r="DB79" s="28">
        <f t="shared" si="36"/>
        <v>2173508.4350000001</v>
      </c>
      <c r="DC79" s="28">
        <f t="shared" si="37"/>
        <v>1284195</v>
      </c>
      <c r="DD79" s="28">
        <f t="shared" si="32"/>
        <v>148525.07</v>
      </c>
      <c r="DE79" s="28">
        <f t="shared" si="38"/>
        <v>1432720.07</v>
      </c>
      <c r="DF79" s="6">
        <f t="shared" si="39"/>
        <v>-740788.36499999999</v>
      </c>
      <c r="DM79" s="34"/>
      <c r="DN79" s="34"/>
    </row>
    <row r="80" spans="1:118" x14ac:dyDescent="0.2">
      <c r="A80">
        <v>292</v>
      </c>
      <c r="B80" t="s">
        <v>49</v>
      </c>
      <c r="C80" t="s">
        <v>4</v>
      </c>
      <c r="D80">
        <v>3</v>
      </c>
      <c r="E80">
        <v>755</v>
      </c>
      <c r="F80">
        <v>716</v>
      </c>
      <c r="G80">
        <v>722</v>
      </c>
      <c r="H80" s="50">
        <f t="shared" si="33"/>
        <v>-6</v>
      </c>
      <c r="I80" s="4">
        <v>9.6688741721854307E-2</v>
      </c>
      <c r="J80">
        <v>73</v>
      </c>
      <c r="K80" s="34">
        <v>198942.26</v>
      </c>
      <c r="L80" s="34">
        <v>113832.45</v>
      </c>
      <c r="M80" s="34">
        <v>0</v>
      </c>
      <c r="N80" s="34">
        <v>71961.03</v>
      </c>
      <c r="O80" s="34">
        <v>8567.4500000000007</v>
      </c>
      <c r="P80" s="34">
        <v>158049.01999999999</v>
      </c>
      <c r="Q80" s="34">
        <v>60058.83</v>
      </c>
      <c r="R80" s="34">
        <v>204749.06</v>
      </c>
      <c r="S80" s="34">
        <v>227664.89</v>
      </c>
      <c r="T80" s="34">
        <v>0</v>
      </c>
      <c r="U80" s="34">
        <v>0</v>
      </c>
      <c r="V80" s="34">
        <v>227664.89</v>
      </c>
      <c r="W80" s="34">
        <v>78332.850000000006</v>
      </c>
      <c r="X80" s="34">
        <v>69884.100000000006</v>
      </c>
      <c r="Y80" s="34">
        <v>0</v>
      </c>
      <c r="Z80" s="34">
        <v>0</v>
      </c>
      <c r="AA80" s="34">
        <v>1069167</v>
      </c>
      <c r="AB80" s="34">
        <v>0</v>
      </c>
      <c r="AC80" s="34">
        <v>0</v>
      </c>
      <c r="AD80" s="34">
        <v>0</v>
      </c>
      <c r="AE80" s="34">
        <v>0</v>
      </c>
      <c r="AF80" s="34">
        <v>4276668</v>
      </c>
      <c r="AG80" s="34">
        <v>249150</v>
      </c>
      <c r="AH80" s="34">
        <v>227664.89</v>
      </c>
      <c r="AI80" s="34">
        <v>341497.34</v>
      </c>
      <c r="AJ80" s="34">
        <v>682994.68</v>
      </c>
      <c r="AK80" s="34">
        <v>0</v>
      </c>
      <c r="AL80" s="34">
        <v>0</v>
      </c>
      <c r="AM80" s="34">
        <v>0</v>
      </c>
      <c r="AN80" s="34">
        <v>0</v>
      </c>
      <c r="AO80" s="34">
        <v>0</v>
      </c>
      <c r="AP80" s="34">
        <v>114681.60000000001</v>
      </c>
      <c r="AQ80" s="34">
        <v>0</v>
      </c>
      <c r="AR80" s="34">
        <v>1252156.9099999999</v>
      </c>
      <c r="AS80" s="34">
        <v>0</v>
      </c>
      <c r="AT80" s="34">
        <v>0</v>
      </c>
      <c r="AU80" s="34">
        <v>421096.5</v>
      </c>
      <c r="AV80" s="34">
        <v>0</v>
      </c>
      <c r="AW80" s="34">
        <v>0</v>
      </c>
      <c r="AX80" s="34">
        <v>0</v>
      </c>
      <c r="AY80" s="34">
        <v>0</v>
      </c>
      <c r="AZ80" s="34">
        <v>0</v>
      </c>
      <c r="BA80" s="34">
        <v>0</v>
      </c>
      <c r="BB80" s="34">
        <v>0</v>
      </c>
      <c r="BC80" s="34">
        <v>0</v>
      </c>
      <c r="BD80" s="34">
        <v>0</v>
      </c>
      <c r="BE80" s="34">
        <v>18875</v>
      </c>
      <c r="BF80" s="34">
        <v>0</v>
      </c>
      <c r="BG80" s="34">
        <v>0</v>
      </c>
      <c r="BH80" s="34">
        <v>0</v>
      </c>
      <c r="BI80" s="34">
        <v>0</v>
      </c>
      <c r="BJ80" s="34">
        <v>0</v>
      </c>
      <c r="BK80" s="34">
        <v>0</v>
      </c>
      <c r="BL80" s="34">
        <v>0</v>
      </c>
      <c r="BM80" s="34">
        <v>0</v>
      </c>
      <c r="BN80" s="34">
        <v>0</v>
      </c>
      <c r="BO80" s="34">
        <v>0</v>
      </c>
      <c r="BP80" s="34">
        <v>500000</v>
      </c>
      <c r="BQ80" s="34">
        <v>0</v>
      </c>
      <c r="BR80" s="34">
        <v>0</v>
      </c>
      <c r="BS80" s="34">
        <v>0</v>
      </c>
      <c r="BT80" s="34">
        <v>0</v>
      </c>
      <c r="BU80" s="34">
        <v>0</v>
      </c>
      <c r="BV80" s="34">
        <v>0</v>
      </c>
      <c r="BW80" s="34">
        <v>0</v>
      </c>
      <c r="BX80" s="34">
        <v>0</v>
      </c>
      <c r="BY80" s="34">
        <v>0</v>
      </c>
      <c r="BZ80" s="34">
        <v>0</v>
      </c>
      <c r="CA80" s="34">
        <v>195822.79</v>
      </c>
      <c r="CB80" s="34">
        <v>0</v>
      </c>
      <c r="CC80" s="34">
        <v>0</v>
      </c>
      <c r="CD80" s="34">
        <v>427971</v>
      </c>
      <c r="CE80" s="34">
        <v>0</v>
      </c>
      <c r="CF80" s="34">
        <v>0</v>
      </c>
      <c r="CJ80" s="28">
        <f t="shared" si="34"/>
        <v>11197452.539999997</v>
      </c>
      <c r="CK80" s="28">
        <v>113832</v>
      </c>
      <c r="CL80" s="28">
        <f>E80/400*CL$123</f>
        <v>299282</v>
      </c>
      <c r="CM80" s="34">
        <f t="shared" si="31"/>
        <v>92387</v>
      </c>
      <c r="CN80" s="34">
        <f t="shared" si="35"/>
        <v>28412.185430463578</v>
      </c>
      <c r="CQ80" s="28">
        <v>113832.45</v>
      </c>
      <c r="CR80" s="28">
        <v>113832.45</v>
      </c>
      <c r="CS80" s="28">
        <f>2*$CQ$123</f>
        <v>227664.9</v>
      </c>
      <c r="CT80" s="34">
        <f>VLOOKUP($A80,'PosxSchpostCouncil 22'!$A$6:$DP$121,94,FALSE)*CT$123</f>
        <v>156665.72</v>
      </c>
      <c r="CU80" s="28">
        <f>VLOOKUP($A80,'Gen ed tchrs'!A76:R191,18,FALSE)*CU$123</f>
        <v>4325633.0999999996</v>
      </c>
      <c r="CV80" s="28">
        <f>'Gen ed tchrs'!Z76*CV$123/2</f>
        <v>147092.868984375</v>
      </c>
      <c r="DB80" s="28">
        <f t="shared" si="36"/>
        <v>5618634.6744148387</v>
      </c>
      <c r="DC80" s="28">
        <f t="shared" si="37"/>
        <v>5345835</v>
      </c>
      <c r="DD80" s="28">
        <f t="shared" si="32"/>
        <v>427971</v>
      </c>
      <c r="DE80" s="28">
        <f t="shared" si="38"/>
        <v>5773806</v>
      </c>
      <c r="DF80" s="6">
        <f t="shared" si="39"/>
        <v>155171.32558516134</v>
      </c>
      <c r="DM80" s="34"/>
      <c r="DN80" s="34"/>
    </row>
    <row r="81" spans="1:118" x14ac:dyDescent="0.2">
      <c r="A81">
        <v>294</v>
      </c>
      <c r="B81" t="s">
        <v>48</v>
      </c>
      <c r="C81" t="s">
        <v>7</v>
      </c>
      <c r="D81">
        <v>8</v>
      </c>
      <c r="E81">
        <v>271</v>
      </c>
      <c r="F81">
        <v>210</v>
      </c>
      <c r="G81">
        <v>247</v>
      </c>
      <c r="H81" s="50">
        <f t="shared" si="33"/>
        <v>-37</v>
      </c>
      <c r="I81" s="4">
        <v>0.88191881918819193</v>
      </c>
      <c r="J81">
        <v>239</v>
      </c>
      <c r="K81" s="34">
        <v>198942.26</v>
      </c>
      <c r="L81" s="34">
        <v>0</v>
      </c>
      <c r="M81" s="34">
        <v>0</v>
      </c>
      <c r="N81" s="34">
        <v>71961.03</v>
      </c>
      <c r="O81" s="34">
        <v>6497.25</v>
      </c>
      <c r="P81" s="34">
        <v>79024.509999999995</v>
      </c>
      <c r="Q81" s="34">
        <v>60058.83</v>
      </c>
      <c r="R81" s="34">
        <v>51187.26</v>
      </c>
      <c r="S81" s="34">
        <v>113832.45</v>
      </c>
      <c r="T81" s="34">
        <v>227664.89</v>
      </c>
      <c r="U81" s="34">
        <v>0</v>
      </c>
      <c r="V81" s="34">
        <v>227664.89</v>
      </c>
      <c r="W81" s="34">
        <v>156665.71</v>
      </c>
      <c r="X81" s="34">
        <v>109305.9</v>
      </c>
      <c r="Y81" s="34">
        <v>0</v>
      </c>
      <c r="Z81" s="34">
        <v>0</v>
      </c>
      <c r="AA81" s="34">
        <v>0</v>
      </c>
      <c r="AB81" s="34">
        <v>0</v>
      </c>
      <c r="AC81" s="34">
        <v>0</v>
      </c>
      <c r="AD81" s="34">
        <v>0</v>
      </c>
      <c r="AE81" s="34">
        <v>0</v>
      </c>
      <c r="AF81" s="34">
        <v>1254330</v>
      </c>
      <c r="AG81" s="34">
        <v>88075</v>
      </c>
      <c r="AH81" s="34">
        <v>113832.45</v>
      </c>
      <c r="AI81" s="34">
        <v>170748.67</v>
      </c>
      <c r="AJ81" s="34">
        <v>341497.34</v>
      </c>
      <c r="AK81" s="34">
        <v>341497.34</v>
      </c>
      <c r="AL81" s="34">
        <v>234998.56</v>
      </c>
      <c r="AM81" s="34">
        <v>0</v>
      </c>
      <c r="AN81" s="34">
        <v>0</v>
      </c>
      <c r="AO81" s="34">
        <v>0</v>
      </c>
      <c r="AP81" s="34">
        <v>86011.199999999997</v>
      </c>
      <c r="AQ81" s="34">
        <v>0</v>
      </c>
      <c r="AR81" s="34">
        <v>0</v>
      </c>
      <c r="AS81" s="34">
        <v>10244.92</v>
      </c>
      <c r="AT81" s="34">
        <v>0</v>
      </c>
      <c r="AU81" s="34">
        <v>3583.8</v>
      </c>
      <c r="AV81" s="34">
        <v>27200</v>
      </c>
      <c r="AW81" s="34">
        <v>27200</v>
      </c>
      <c r="AX81" s="34">
        <v>10200</v>
      </c>
      <c r="AY81" s="34">
        <v>0</v>
      </c>
      <c r="AZ81" s="34">
        <v>27200</v>
      </c>
      <c r="BA81" s="34">
        <v>0</v>
      </c>
      <c r="BB81" s="34">
        <v>27200</v>
      </c>
      <c r="BC81" s="34">
        <v>146660.1</v>
      </c>
      <c r="BD81" s="34">
        <v>2362.33</v>
      </c>
      <c r="BE81" s="34">
        <v>0</v>
      </c>
      <c r="BF81" s="34">
        <v>113832.45</v>
      </c>
      <c r="BG81" s="34">
        <v>0</v>
      </c>
      <c r="BH81" s="34">
        <v>0</v>
      </c>
      <c r="BI81" s="34">
        <v>0</v>
      </c>
      <c r="BJ81" s="34">
        <v>0</v>
      </c>
      <c r="BK81" s="34">
        <v>0</v>
      </c>
      <c r="BL81" s="34">
        <v>0</v>
      </c>
      <c r="BM81" s="34">
        <v>0</v>
      </c>
      <c r="BN81" s="34">
        <v>0</v>
      </c>
      <c r="BO81" s="34">
        <v>0</v>
      </c>
      <c r="BP81" s="34">
        <v>0</v>
      </c>
      <c r="BQ81" s="34">
        <v>0</v>
      </c>
      <c r="BR81" s="34">
        <v>0</v>
      </c>
      <c r="BS81" s="34">
        <v>0</v>
      </c>
      <c r="BT81" s="34">
        <v>0</v>
      </c>
      <c r="BU81" s="34">
        <v>15325</v>
      </c>
      <c r="BV81" s="34">
        <v>0</v>
      </c>
      <c r="BW81" s="34">
        <v>0</v>
      </c>
      <c r="BX81" s="34">
        <v>0</v>
      </c>
      <c r="BY81" s="34">
        <v>0</v>
      </c>
      <c r="BZ81" s="34">
        <v>0</v>
      </c>
      <c r="CA81" s="34">
        <v>641118.46</v>
      </c>
      <c r="CB81" s="34">
        <v>156014.76</v>
      </c>
      <c r="CC81" s="34">
        <v>313737.37</v>
      </c>
      <c r="CD81" s="34">
        <v>99193.16</v>
      </c>
      <c r="CE81" s="34">
        <v>265702.40000000002</v>
      </c>
      <c r="CF81" s="34">
        <v>553370.36</v>
      </c>
      <c r="CJ81" s="28">
        <f t="shared" si="34"/>
        <v>6373940.6500000004</v>
      </c>
      <c r="CK81" s="28">
        <v>113832</v>
      </c>
      <c r="CM81" s="34">
        <f t="shared" si="31"/>
        <v>46193.5</v>
      </c>
      <c r="CN81" s="34">
        <f t="shared" si="35"/>
        <v>0</v>
      </c>
      <c r="CQ81" s="28">
        <f>IF('Gen ed tchrs'!$V77&gt;37,2*113832,IF('Gen ed tchrs'!$V77&gt;25,1.5*113832,113832))</f>
        <v>113832</v>
      </c>
      <c r="CR81" s="28">
        <f>IF('Gen ed tchrs'!$V77&gt;37,2*113832,IF('Gen ed tchrs'!$V77&gt;25,1.5*113832,113832))</f>
        <v>113832</v>
      </c>
      <c r="CS81" s="28">
        <f>IF('Gen ed tchrs'!$V77&gt;39.1,3.5*113832,IF('Gen ed tchrs'!$V77&gt;33.1,3*113832,IF('Gen ed tchrs'!$V77&gt;26.1,2.5*113832,IF('Gen ed tchrs'!$V77&gt;20.1,2*113832,IF('Gen ed tchrs'!$V77&gt;13.1,1.5*113832,113832)))))</f>
        <v>170748</v>
      </c>
      <c r="CT81" s="34">
        <f>VLOOKUP($A81,'PosxSchpostCouncil 22'!$A$6:$DP$121,94,FALSE)*CT$123</f>
        <v>78332.86</v>
      </c>
      <c r="CU81" s="28">
        <f>VLOOKUP($A81,'Gen ed tchrs'!A77:R192,18,FALSE)*CU$123</f>
        <v>1479821.8499999999</v>
      </c>
      <c r="CV81" s="28">
        <f>'Gen ed tchrs'!Z77*CV$123/2</f>
        <v>56916.224999999999</v>
      </c>
      <c r="DB81" s="28">
        <f t="shared" si="36"/>
        <v>2173508.4350000001</v>
      </c>
      <c r="DC81" s="28">
        <f t="shared" si="37"/>
        <v>1254330</v>
      </c>
      <c r="DD81" s="28">
        <f t="shared" si="32"/>
        <v>1232003.29</v>
      </c>
      <c r="DE81" s="28">
        <f t="shared" si="38"/>
        <v>2486333.29</v>
      </c>
      <c r="DF81" s="6">
        <f t="shared" si="39"/>
        <v>312824.85499999998</v>
      </c>
      <c r="DM81" s="34"/>
      <c r="DN81" s="34"/>
    </row>
    <row r="82" spans="1:118" x14ac:dyDescent="0.2">
      <c r="A82">
        <v>295</v>
      </c>
      <c r="B82" t="s">
        <v>47</v>
      </c>
      <c r="C82" t="s">
        <v>7</v>
      </c>
      <c r="D82">
        <v>6</v>
      </c>
      <c r="E82">
        <v>308</v>
      </c>
      <c r="F82">
        <v>227</v>
      </c>
      <c r="G82">
        <v>241</v>
      </c>
      <c r="H82" s="50">
        <f t="shared" si="33"/>
        <v>-14</v>
      </c>
      <c r="I82" s="4">
        <v>0.43831168831168832</v>
      </c>
      <c r="J82">
        <v>135</v>
      </c>
      <c r="K82" s="34">
        <v>198942.26</v>
      </c>
      <c r="L82" s="34">
        <v>0</v>
      </c>
      <c r="M82" s="34">
        <v>0</v>
      </c>
      <c r="N82" s="34">
        <v>71961.03</v>
      </c>
      <c r="O82" s="34">
        <v>5865.5</v>
      </c>
      <c r="P82" s="34">
        <v>79024.509999999995</v>
      </c>
      <c r="Q82" s="34">
        <v>60058.83</v>
      </c>
      <c r="R82" s="34">
        <v>102374.53</v>
      </c>
      <c r="S82" s="34">
        <v>113832.45</v>
      </c>
      <c r="T82" s="34">
        <v>341497.34</v>
      </c>
      <c r="U82" s="34">
        <v>0</v>
      </c>
      <c r="V82" s="34">
        <v>227664.89</v>
      </c>
      <c r="W82" s="34">
        <v>195832.13</v>
      </c>
      <c r="X82" s="34">
        <v>145143.9</v>
      </c>
      <c r="Y82" s="34">
        <v>0</v>
      </c>
      <c r="Z82" s="34">
        <v>0</v>
      </c>
      <c r="AA82" s="34">
        <v>0</v>
      </c>
      <c r="AB82" s="34">
        <v>0</v>
      </c>
      <c r="AC82" s="34">
        <v>0</v>
      </c>
      <c r="AD82" s="34">
        <v>0</v>
      </c>
      <c r="AE82" s="34">
        <v>0</v>
      </c>
      <c r="AF82" s="34">
        <v>1355871</v>
      </c>
      <c r="AG82" s="34">
        <v>100100</v>
      </c>
      <c r="AH82" s="34">
        <v>113832.45</v>
      </c>
      <c r="AI82" s="34">
        <v>341497.34</v>
      </c>
      <c r="AJ82" s="34">
        <v>341497.34</v>
      </c>
      <c r="AK82" s="34">
        <v>455329.78</v>
      </c>
      <c r="AL82" s="34">
        <v>156665.71</v>
      </c>
      <c r="AM82" s="34">
        <v>0</v>
      </c>
      <c r="AN82" s="34">
        <v>57558.06</v>
      </c>
      <c r="AO82" s="34">
        <v>0</v>
      </c>
      <c r="AP82" s="34">
        <v>71676</v>
      </c>
      <c r="AQ82" s="34">
        <v>0</v>
      </c>
      <c r="AR82" s="34">
        <v>0</v>
      </c>
      <c r="AS82" s="34">
        <v>20489.84</v>
      </c>
      <c r="AT82" s="34">
        <v>0</v>
      </c>
      <c r="AU82" s="34">
        <v>7167.6</v>
      </c>
      <c r="AV82" s="34">
        <v>27200</v>
      </c>
      <c r="AW82" s="34">
        <v>34000</v>
      </c>
      <c r="AX82" s="34">
        <v>0</v>
      </c>
      <c r="AY82" s="34">
        <v>0</v>
      </c>
      <c r="AZ82" s="34">
        <v>34000</v>
      </c>
      <c r="BA82" s="34">
        <v>10200</v>
      </c>
      <c r="BB82" s="34">
        <v>40800</v>
      </c>
      <c r="BC82" s="34">
        <v>79661.87</v>
      </c>
      <c r="BD82" s="34">
        <v>1283.1600000000001</v>
      </c>
      <c r="BE82" s="34">
        <v>0</v>
      </c>
      <c r="BF82" s="34">
        <v>0</v>
      </c>
      <c r="BG82" s="34">
        <v>0</v>
      </c>
      <c r="BH82" s="34">
        <v>0</v>
      </c>
      <c r="BI82" s="34">
        <v>0</v>
      </c>
      <c r="BJ82" s="34">
        <v>0</v>
      </c>
      <c r="BK82" s="34">
        <v>0</v>
      </c>
      <c r="BL82" s="34">
        <v>0</v>
      </c>
      <c r="BM82" s="34">
        <v>0</v>
      </c>
      <c r="BN82" s="34">
        <v>0</v>
      </c>
      <c r="BO82" s="34">
        <v>0</v>
      </c>
      <c r="BP82" s="34">
        <v>0</v>
      </c>
      <c r="BQ82" s="34">
        <v>0</v>
      </c>
      <c r="BR82" s="34">
        <v>0</v>
      </c>
      <c r="BS82" s="34">
        <v>0</v>
      </c>
      <c r="BT82" s="34">
        <v>0</v>
      </c>
      <c r="BU82" s="34">
        <v>15325</v>
      </c>
      <c r="BV82" s="34">
        <v>0</v>
      </c>
      <c r="BW82" s="34">
        <v>0</v>
      </c>
      <c r="BX82" s="34">
        <v>0</v>
      </c>
      <c r="BY82" s="34">
        <v>0</v>
      </c>
      <c r="BZ82" s="34">
        <v>0</v>
      </c>
      <c r="CA82" s="34">
        <v>362138.04</v>
      </c>
      <c r="CB82" s="34">
        <v>14096.28</v>
      </c>
      <c r="CC82" s="34">
        <v>494.13</v>
      </c>
      <c r="CD82" s="34">
        <v>181632.75</v>
      </c>
      <c r="CE82" s="34">
        <v>280993.28000000003</v>
      </c>
      <c r="CF82" s="34">
        <v>0</v>
      </c>
      <c r="CJ82" s="28">
        <f t="shared" si="34"/>
        <v>5645706.9999999991</v>
      </c>
      <c r="CK82" s="28">
        <v>113832</v>
      </c>
      <c r="CL82" s="28">
        <f>E82/400*CL$123</f>
        <v>122091.2</v>
      </c>
      <c r="CM82" s="34">
        <f t="shared" si="31"/>
        <v>92387</v>
      </c>
      <c r="CN82" s="34">
        <f t="shared" si="35"/>
        <v>0</v>
      </c>
      <c r="CQ82" s="28">
        <f>IF('Gen ed tchrs'!$V78&gt;37,2*113832,IF('Gen ed tchrs'!$V78&gt;25,1.5*113832,113832))</f>
        <v>113832</v>
      </c>
      <c r="CR82" s="28">
        <f>IF('Gen ed tchrs'!$V78&gt;37,2*113832,IF('Gen ed tchrs'!$V78&gt;25,1.5*113832,113832))</f>
        <v>113832</v>
      </c>
      <c r="CS82" s="28">
        <f>IF('Gen ed tchrs'!$V78&gt;39.1,3.5*113832,IF('Gen ed tchrs'!$V78&gt;33.1,3*113832,IF('Gen ed tchrs'!$V78&gt;26.1,2.5*113832,IF('Gen ed tchrs'!$V78&gt;20.1,2*113832,IF('Gen ed tchrs'!$V78&gt;13.1,1.5*113832,113832)))))</f>
        <v>170748</v>
      </c>
      <c r="CT82" s="34">
        <f>VLOOKUP($A82,'PosxSchpostCouncil 22'!$A$6:$DP$121,94,FALSE)*CT$123</f>
        <v>78332.86</v>
      </c>
      <c r="CU82" s="28">
        <f>VLOOKUP($A82,'Gen ed tchrs'!A78:R193,18,FALSE)*CU$123</f>
        <v>1593654.3</v>
      </c>
      <c r="CV82" s="28">
        <f>'Gen ed tchrs'!Z78*CV$123/2</f>
        <v>24047.105062499992</v>
      </c>
      <c r="DB82" s="28">
        <f t="shared" si="36"/>
        <v>2422756.4650625</v>
      </c>
      <c r="DC82" s="28">
        <f t="shared" si="37"/>
        <v>1355871</v>
      </c>
      <c r="DD82" s="28">
        <f t="shared" si="32"/>
        <v>463120.16000000003</v>
      </c>
      <c r="DE82" s="28">
        <f t="shared" si="38"/>
        <v>1818991.1600000001</v>
      </c>
      <c r="DF82" s="6">
        <f t="shared" si="39"/>
        <v>-603765.30506249983</v>
      </c>
      <c r="DM82" s="34"/>
      <c r="DN82" s="34"/>
    </row>
    <row r="83" spans="1:118" x14ac:dyDescent="0.2">
      <c r="A83">
        <v>301</v>
      </c>
      <c r="B83" t="s">
        <v>46</v>
      </c>
      <c r="C83" t="s">
        <v>7</v>
      </c>
      <c r="D83">
        <v>6</v>
      </c>
      <c r="E83">
        <v>210</v>
      </c>
      <c r="F83">
        <v>72</v>
      </c>
      <c r="G83">
        <v>81</v>
      </c>
      <c r="H83" s="50">
        <f t="shared" si="33"/>
        <v>-9</v>
      </c>
      <c r="I83" s="4">
        <v>8.0952380952380956E-2</v>
      </c>
      <c r="J83">
        <v>17</v>
      </c>
      <c r="K83" s="34">
        <v>0</v>
      </c>
      <c r="L83" s="34">
        <v>0</v>
      </c>
      <c r="M83" s="34">
        <v>0</v>
      </c>
      <c r="N83" s="34">
        <v>71961.03</v>
      </c>
      <c r="O83" s="34">
        <v>4225.55</v>
      </c>
      <c r="P83" s="34">
        <v>79024.509999999995</v>
      </c>
      <c r="Q83" s="34">
        <v>60058.83</v>
      </c>
      <c r="R83" s="34">
        <v>51187.26</v>
      </c>
      <c r="S83" s="34">
        <v>113832.45</v>
      </c>
      <c r="T83" s="34">
        <v>455329.78</v>
      </c>
      <c r="U83" s="34">
        <v>0</v>
      </c>
      <c r="V83" s="34">
        <v>455329.78</v>
      </c>
      <c r="W83" s="34">
        <v>313331.40999999997</v>
      </c>
      <c r="X83" s="34">
        <v>247282.2</v>
      </c>
      <c r="Y83" s="34">
        <v>0</v>
      </c>
      <c r="Z83" s="34">
        <v>0</v>
      </c>
      <c r="AA83" s="34">
        <v>0</v>
      </c>
      <c r="AB83" s="34">
        <v>0</v>
      </c>
      <c r="AC83" s="34">
        <v>0</v>
      </c>
      <c r="AD83" s="34">
        <v>0</v>
      </c>
      <c r="AE83" s="34">
        <v>0</v>
      </c>
      <c r="AF83" s="34">
        <v>430056</v>
      </c>
      <c r="AG83" s="34">
        <v>68250</v>
      </c>
      <c r="AH83" s="34">
        <v>113832.45</v>
      </c>
      <c r="AI83" s="34">
        <v>56916.22</v>
      </c>
      <c r="AJ83" s="34">
        <v>113832.45</v>
      </c>
      <c r="AK83" s="34">
        <v>0</v>
      </c>
      <c r="AL83" s="34">
        <v>0</v>
      </c>
      <c r="AM83" s="34">
        <v>0</v>
      </c>
      <c r="AN83" s="34">
        <v>0</v>
      </c>
      <c r="AO83" s="34">
        <v>0</v>
      </c>
      <c r="AP83" s="34">
        <v>25086.6</v>
      </c>
      <c r="AQ83" s="34">
        <v>0</v>
      </c>
      <c r="AR83" s="34">
        <v>0</v>
      </c>
      <c r="AS83" s="34">
        <v>5691.62</v>
      </c>
      <c r="AT83" s="34">
        <v>0</v>
      </c>
      <c r="AU83" s="34">
        <v>1791.9</v>
      </c>
      <c r="AV83" s="34">
        <v>0</v>
      </c>
      <c r="AW83" s="34">
        <v>0</v>
      </c>
      <c r="AX83" s="34">
        <v>0</v>
      </c>
      <c r="AY83" s="34">
        <v>0</v>
      </c>
      <c r="AZ83" s="34">
        <v>0</v>
      </c>
      <c r="BA83" s="34">
        <v>0</v>
      </c>
      <c r="BB83" s="34">
        <v>0</v>
      </c>
      <c r="BC83" s="34">
        <v>0</v>
      </c>
      <c r="BD83" s="34">
        <v>0</v>
      </c>
      <c r="BE83" s="34">
        <v>5250</v>
      </c>
      <c r="BF83" s="34">
        <v>0</v>
      </c>
      <c r="BG83" s="34">
        <v>0</v>
      </c>
      <c r="BH83" s="34">
        <v>0</v>
      </c>
      <c r="BI83" s="34">
        <v>0</v>
      </c>
      <c r="BJ83" s="34">
        <v>0</v>
      </c>
      <c r="BK83" s="34">
        <v>0</v>
      </c>
      <c r="BL83" s="34">
        <v>0</v>
      </c>
      <c r="BM83" s="34">
        <v>0</v>
      </c>
      <c r="BN83" s="34">
        <v>0</v>
      </c>
      <c r="BO83" s="34">
        <v>0</v>
      </c>
      <c r="BP83" s="34">
        <v>0</v>
      </c>
      <c r="BQ83" s="34">
        <v>0</v>
      </c>
      <c r="BR83" s="34">
        <v>0</v>
      </c>
      <c r="BS83" s="34">
        <v>0</v>
      </c>
      <c r="BT83" s="34">
        <v>0</v>
      </c>
      <c r="BU83" s="34">
        <v>0</v>
      </c>
      <c r="BV83" s="34">
        <v>0</v>
      </c>
      <c r="BW83" s="34">
        <v>0</v>
      </c>
      <c r="BX83" s="34">
        <v>0</v>
      </c>
      <c r="BY83" s="34">
        <v>0</v>
      </c>
      <c r="BZ83" s="34">
        <v>0</v>
      </c>
      <c r="CA83" s="34">
        <v>45602.57</v>
      </c>
      <c r="CB83" s="34">
        <v>0</v>
      </c>
      <c r="CC83" s="34">
        <v>154478.10999999999</v>
      </c>
      <c r="CD83" s="34">
        <v>103649.49</v>
      </c>
      <c r="CE83" s="34">
        <v>146239.35</v>
      </c>
      <c r="CF83" s="34">
        <v>70972.17</v>
      </c>
      <c r="CJ83" s="28">
        <f t="shared" si="34"/>
        <v>3193211.7300000004</v>
      </c>
      <c r="CK83" s="28">
        <v>113832</v>
      </c>
      <c r="CM83" s="34">
        <f t="shared" si="31"/>
        <v>46193.5</v>
      </c>
      <c r="CN83" s="34">
        <f t="shared" si="35"/>
        <v>0</v>
      </c>
      <c r="CQ83" s="28">
        <f>IF('Gen ed tchrs'!$V79&gt;37,2*113832,IF('Gen ed tchrs'!$V79&gt;25,1.5*113832,113832))</f>
        <v>113832</v>
      </c>
      <c r="CR83" s="28">
        <f>IF('Gen ed tchrs'!$V79&gt;37,2*113832,IF('Gen ed tchrs'!$V79&gt;25,1.5*113832,113832))</f>
        <v>113832</v>
      </c>
      <c r="CS83" s="28">
        <f>IF('Gen ed tchrs'!$V79&gt;39.1,3.5*113832,IF('Gen ed tchrs'!$V79&gt;33.1,3*113832,IF('Gen ed tchrs'!$V79&gt;26.1,2.5*113832,IF('Gen ed tchrs'!$V79&gt;20.1,2*113832,IF('Gen ed tchrs'!$V79&gt;13.1,1.5*113832,113832)))))</f>
        <v>113832</v>
      </c>
      <c r="CT83" s="34">
        <f>VLOOKUP($A83,'PosxSchpostCouncil 22'!$A$6:$DP$121,94,FALSE)*CT$123</f>
        <v>156665.72</v>
      </c>
      <c r="CU83" s="28">
        <f>VLOOKUP($A83,'Gen ed tchrs'!A79:R194,18,FALSE)*CU$123</f>
        <v>455329.8</v>
      </c>
      <c r="CV83" s="28">
        <f>'Gen ed tchrs'!Z79*CV$123/2</f>
        <v>0</v>
      </c>
      <c r="DB83" s="28">
        <f t="shared" si="36"/>
        <v>1113517.02</v>
      </c>
      <c r="DC83" s="28">
        <f t="shared" si="37"/>
        <v>430056</v>
      </c>
      <c r="DD83" s="28">
        <f t="shared" si="32"/>
        <v>475339.11999999994</v>
      </c>
      <c r="DE83" s="28">
        <f t="shared" si="38"/>
        <v>905395.11999999988</v>
      </c>
      <c r="DF83" s="6">
        <f t="shared" si="39"/>
        <v>-208121.90000000014</v>
      </c>
      <c r="DM83" s="34"/>
      <c r="DN83" s="34"/>
    </row>
    <row r="84" spans="1:118" x14ac:dyDescent="0.2">
      <c r="A84">
        <v>478</v>
      </c>
      <c r="B84" t="s">
        <v>45</v>
      </c>
      <c r="C84" t="s">
        <v>1</v>
      </c>
      <c r="D84">
        <v>5</v>
      </c>
      <c r="E84">
        <v>352</v>
      </c>
      <c r="F84">
        <v>352</v>
      </c>
      <c r="G84">
        <v>306</v>
      </c>
      <c r="H84" s="50">
        <f t="shared" si="33"/>
        <v>46</v>
      </c>
      <c r="I84" s="4">
        <v>0.62784090909090906</v>
      </c>
      <c r="J84">
        <v>221</v>
      </c>
      <c r="K84" s="34">
        <v>198942.26</v>
      </c>
      <c r="L84" s="34">
        <v>0</v>
      </c>
      <c r="M84" s="34">
        <v>192637.4</v>
      </c>
      <c r="N84" s="34">
        <v>71961.03</v>
      </c>
      <c r="O84" s="34">
        <v>14412.07</v>
      </c>
      <c r="P84" s="34">
        <v>79024.509999999995</v>
      </c>
      <c r="Q84" s="34">
        <v>60058.83</v>
      </c>
      <c r="R84" s="34">
        <v>204749.06</v>
      </c>
      <c r="S84" s="34">
        <v>113832.45</v>
      </c>
      <c r="T84" s="34">
        <v>0</v>
      </c>
      <c r="U84" s="34">
        <v>0</v>
      </c>
      <c r="V84" s="34">
        <v>0</v>
      </c>
      <c r="W84" s="34">
        <v>0</v>
      </c>
      <c r="X84" s="34">
        <v>0</v>
      </c>
      <c r="Y84" s="34">
        <v>0</v>
      </c>
      <c r="Z84" s="34">
        <v>0</v>
      </c>
      <c r="AA84" s="34">
        <v>0</v>
      </c>
      <c r="AB84" s="34">
        <v>455329.78</v>
      </c>
      <c r="AC84" s="34">
        <v>257729.7</v>
      </c>
      <c r="AD84" s="34">
        <v>0</v>
      </c>
      <c r="AE84" s="34">
        <v>227664.89</v>
      </c>
      <c r="AF84" s="34">
        <v>2102496</v>
      </c>
      <c r="AG84" s="34">
        <v>208736</v>
      </c>
      <c r="AH84" s="34">
        <v>113832.45</v>
      </c>
      <c r="AI84" s="34">
        <v>113832.45</v>
      </c>
      <c r="AJ84" s="34">
        <v>569162.23</v>
      </c>
      <c r="AK84" s="34">
        <v>0</v>
      </c>
      <c r="AL84" s="34">
        <v>0</v>
      </c>
      <c r="AM84" s="34">
        <v>0</v>
      </c>
      <c r="AN84" s="34">
        <v>0</v>
      </c>
      <c r="AO84" s="34">
        <v>0</v>
      </c>
      <c r="AP84" s="34">
        <v>87803.1</v>
      </c>
      <c r="AQ84" s="34">
        <v>0</v>
      </c>
      <c r="AR84" s="34">
        <v>113832.45</v>
      </c>
      <c r="AS84" s="34">
        <v>0</v>
      </c>
      <c r="AT84" s="34">
        <v>0</v>
      </c>
      <c r="AU84" s="34">
        <v>19710.900000000001</v>
      </c>
      <c r="AV84" s="34">
        <v>0</v>
      </c>
      <c r="AW84" s="34">
        <v>0</v>
      </c>
      <c r="AX84" s="34">
        <v>0</v>
      </c>
      <c r="AY84" s="34">
        <v>40000</v>
      </c>
      <c r="AZ84" s="34">
        <v>0</v>
      </c>
      <c r="BA84" s="34">
        <v>0</v>
      </c>
      <c r="BB84" s="34">
        <v>0</v>
      </c>
      <c r="BC84" s="34">
        <v>122956.36</v>
      </c>
      <c r="BD84" s="34">
        <v>1980.52</v>
      </c>
      <c r="BE84" s="34">
        <v>0</v>
      </c>
      <c r="BF84" s="34">
        <v>0</v>
      </c>
      <c r="BG84" s="34">
        <v>0</v>
      </c>
      <c r="BH84" s="34">
        <v>0</v>
      </c>
      <c r="BI84" s="34">
        <v>0</v>
      </c>
      <c r="BJ84" s="34">
        <v>0</v>
      </c>
      <c r="BK84" s="34">
        <v>0</v>
      </c>
      <c r="BL84" s="34">
        <v>0</v>
      </c>
      <c r="BM84" s="34">
        <v>0</v>
      </c>
      <c r="BN84" s="34">
        <v>0</v>
      </c>
      <c r="BO84" s="34">
        <v>0</v>
      </c>
      <c r="BP84" s="34">
        <v>0</v>
      </c>
      <c r="BQ84" s="34">
        <v>0</v>
      </c>
      <c r="BR84" s="34">
        <v>0</v>
      </c>
      <c r="BS84" s="34">
        <v>0</v>
      </c>
      <c r="BT84" s="34">
        <v>0</v>
      </c>
      <c r="BU84" s="34">
        <v>0</v>
      </c>
      <c r="BV84" s="34">
        <v>0</v>
      </c>
      <c r="BW84" s="34">
        <v>55921</v>
      </c>
      <c r="BX84" s="34">
        <v>147878.60999999999</v>
      </c>
      <c r="BY84" s="34">
        <v>119483.41</v>
      </c>
      <c r="BZ84" s="34">
        <v>0</v>
      </c>
      <c r="CA84" s="34">
        <v>656542.85</v>
      </c>
      <c r="CB84" s="34">
        <v>95806.92</v>
      </c>
      <c r="CC84" s="34">
        <v>0</v>
      </c>
      <c r="CD84" s="34">
        <v>0</v>
      </c>
      <c r="CE84" s="34">
        <v>0</v>
      </c>
      <c r="CF84" s="34">
        <v>0</v>
      </c>
      <c r="CJ84" s="28">
        <f t="shared" si="34"/>
        <v>6446317.2299999995</v>
      </c>
      <c r="CK84" s="28">
        <v>113832</v>
      </c>
      <c r="CL84" s="28">
        <f>E84/300*CL$123</f>
        <v>186043.73333333334</v>
      </c>
      <c r="CM84" s="34">
        <f t="shared" si="31"/>
        <v>92387</v>
      </c>
      <c r="CN84" s="34">
        <f t="shared" si="35"/>
        <v>0</v>
      </c>
      <c r="CO84" s="28">
        <f>CO$123</f>
        <v>58500</v>
      </c>
      <c r="CP84" s="28">
        <f>CP$123</f>
        <v>70673</v>
      </c>
      <c r="CU84" s="28">
        <f>VLOOKUP($A84,'Gen ed tchrs'!A80:R195,18,FALSE)*CU$123</f>
        <v>2390481.4499999997</v>
      </c>
      <c r="CV84" s="28">
        <f>'Gen ed tchrs'!Z80*CV$123/2</f>
        <v>120662.397</v>
      </c>
      <c r="CW84" s="34">
        <v>119483</v>
      </c>
      <c r="DB84" s="28">
        <f t="shared" si="36"/>
        <v>3152062.580333333</v>
      </c>
      <c r="DC84" s="28">
        <f t="shared" si="37"/>
        <v>2102496</v>
      </c>
      <c r="DD84" s="28">
        <f t="shared" si="32"/>
        <v>0</v>
      </c>
      <c r="DE84" s="28">
        <f t="shared" si="38"/>
        <v>2102496</v>
      </c>
      <c r="DF84" s="6">
        <f t="shared" si="39"/>
        <v>-1049566.580333333</v>
      </c>
      <c r="DM84" s="34"/>
      <c r="DN84" s="34"/>
    </row>
    <row r="85" spans="1:118" x14ac:dyDescent="0.2">
      <c r="A85">
        <v>299</v>
      </c>
      <c r="B85" t="s">
        <v>44</v>
      </c>
      <c r="C85" t="s">
        <v>7</v>
      </c>
      <c r="D85">
        <v>7</v>
      </c>
      <c r="E85">
        <v>221</v>
      </c>
      <c r="F85">
        <v>157</v>
      </c>
      <c r="G85">
        <v>175</v>
      </c>
      <c r="H85" s="50">
        <f t="shared" si="33"/>
        <v>-18</v>
      </c>
      <c r="I85" s="4">
        <v>0.80090497737556565</v>
      </c>
      <c r="J85">
        <v>177</v>
      </c>
      <c r="K85" s="34">
        <v>198942.26</v>
      </c>
      <c r="L85" s="34">
        <v>0</v>
      </c>
      <c r="M85" s="34">
        <v>0</v>
      </c>
      <c r="N85" s="34">
        <v>71961.03</v>
      </c>
      <c r="O85" s="34">
        <v>5928.6</v>
      </c>
      <c r="P85" s="34">
        <v>79024.509999999995</v>
      </c>
      <c r="Q85" s="34">
        <v>60058.83</v>
      </c>
      <c r="R85" s="34">
        <v>51187.26</v>
      </c>
      <c r="S85" s="34">
        <v>113832.45</v>
      </c>
      <c r="T85" s="34">
        <v>0</v>
      </c>
      <c r="U85" s="34">
        <v>455329.78</v>
      </c>
      <c r="V85" s="34">
        <v>0</v>
      </c>
      <c r="W85" s="34">
        <v>156665.71</v>
      </c>
      <c r="X85" s="34">
        <v>114681.60000000001</v>
      </c>
      <c r="Y85" s="34">
        <v>0</v>
      </c>
      <c r="Z85" s="34">
        <v>0</v>
      </c>
      <c r="AA85" s="34">
        <v>0</v>
      </c>
      <c r="AB85" s="34">
        <v>0</v>
      </c>
      <c r="AC85" s="34">
        <v>0</v>
      </c>
      <c r="AD85" s="34">
        <v>0</v>
      </c>
      <c r="AE85" s="34">
        <v>0</v>
      </c>
      <c r="AF85" s="34">
        <v>937761</v>
      </c>
      <c r="AG85" s="34">
        <v>71825</v>
      </c>
      <c r="AH85" s="34">
        <v>113832.45</v>
      </c>
      <c r="AI85" s="34">
        <v>170748.67</v>
      </c>
      <c r="AJ85" s="34">
        <v>341497.34</v>
      </c>
      <c r="AK85" s="34">
        <v>341497.34</v>
      </c>
      <c r="AL85" s="34">
        <v>234998.56</v>
      </c>
      <c r="AM85" s="34">
        <v>0</v>
      </c>
      <c r="AN85" s="34">
        <v>0</v>
      </c>
      <c r="AO85" s="34">
        <v>0</v>
      </c>
      <c r="AP85" s="34">
        <v>93178.8</v>
      </c>
      <c r="AQ85" s="34">
        <v>0</v>
      </c>
      <c r="AR85" s="34">
        <v>113832.45</v>
      </c>
      <c r="AS85" s="34">
        <v>0</v>
      </c>
      <c r="AT85" s="34">
        <v>0</v>
      </c>
      <c r="AU85" s="34">
        <v>30462.3</v>
      </c>
      <c r="AV85" s="34">
        <v>13600</v>
      </c>
      <c r="AW85" s="34">
        <v>13600</v>
      </c>
      <c r="AX85" s="34">
        <v>0</v>
      </c>
      <c r="AY85" s="34">
        <v>0</v>
      </c>
      <c r="AZ85" s="34">
        <v>27200</v>
      </c>
      <c r="BA85" s="34">
        <v>10200</v>
      </c>
      <c r="BB85" s="34">
        <v>27200</v>
      </c>
      <c r="BC85" s="34">
        <v>119601.04</v>
      </c>
      <c r="BD85" s="34">
        <v>1926.48</v>
      </c>
      <c r="BE85" s="34">
        <v>0</v>
      </c>
      <c r="BF85" s="34">
        <v>0</v>
      </c>
      <c r="BG85" s="34">
        <v>0</v>
      </c>
      <c r="BH85" s="34">
        <v>0</v>
      </c>
      <c r="BI85" s="34">
        <v>0</v>
      </c>
      <c r="BJ85" s="34">
        <v>0</v>
      </c>
      <c r="BK85" s="34">
        <v>0</v>
      </c>
      <c r="BL85" s="34">
        <v>0</v>
      </c>
      <c r="BM85" s="34">
        <v>0</v>
      </c>
      <c r="BN85" s="34">
        <v>0</v>
      </c>
      <c r="BO85" s="34">
        <v>0</v>
      </c>
      <c r="BP85" s="34">
        <v>0</v>
      </c>
      <c r="BQ85" s="34">
        <v>0</v>
      </c>
      <c r="BR85" s="34">
        <v>0</v>
      </c>
      <c r="BS85" s="34">
        <v>0</v>
      </c>
      <c r="BT85" s="34">
        <v>0</v>
      </c>
      <c r="BU85" s="34">
        <v>0</v>
      </c>
      <c r="BV85" s="34">
        <v>0</v>
      </c>
      <c r="BW85" s="34">
        <v>0</v>
      </c>
      <c r="BX85" s="34">
        <v>0</v>
      </c>
      <c r="BY85" s="34">
        <v>0</v>
      </c>
      <c r="BZ85" s="34">
        <v>0</v>
      </c>
      <c r="CA85" s="34">
        <v>474803.21</v>
      </c>
      <c r="CB85" s="34">
        <v>105841.56</v>
      </c>
      <c r="CC85" s="34">
        <v>154986.56</v>
      </c>
      <c r="CD85" s="34">
        <v>193230.93</v>
      </c>
      <c r="CE85" s="34">
        <v>251525.46</v>
      </c>
      <c r="CF85" s="34">
        <v>0</v>
      </c>
      <c r="CJ85" s="28">
        <f t="shared" si="34"/>
        <v>5150961.1799999988</v>
      </c>
      <c r="CK85" s="28">
        <v>113832</v>
      </c>
      <c r="CM85" s="34">
        <f t="shared" si="31"/>
        <v>46193.5</v>
      </c>
      <c r="CN85" s="34">
        <f t="shared" si="35"/>
        <v>0</v>
      </c>
      <c r="CQ85" s="28">
        <f>IF('Gen ed tchrs'!$V81&gt;37,2*113832,IF('Gen ed tchrs'!$V81&gt;25,1.5*113832,113832))</f>
        <v>113832</v>
      </c>
      <c r="CR85" s="28">
        <f>IF('Gen ed tchrs'!$V81&gt;37,2*113832,IF('Gen ed tchrs'!$V81&gt;25,1.5*113832,113832))</f>
        <v>113832</v>
      </c>
      <c r="CS85" s="28">
        <f>IF('Gen ed tchrs'!$V81&gt;39.1,3.5*113832,IF('Gen ed tchrs'!$V81&gt;33.1,3*113832,IF('Gen ed tchrs'!$V81&gt;26.1,2.5*113832,IF('Gen ed tchrs'!$V81&gt;20.1,2*113832,IF('Gen ed tchrs'!$V81&gt;13.1,1.5*113832,113832)))))</f>
        <v>170748</v>
      </c>
      <c r="CT85" s="34">
        <f>VLOOKUP($A85,'PosxSchpostCouncil 22'!$A$6:$DP$121,94,FALSE)*CT$123</f>
        <v>78332.86</v>
      </c>
      <c r="CU85" s="28">
        <f>VLOOKUP($A85,'Gen ed tchrs'!A81:R196,18,FALSE)*CU$123</f>
        <v>1138324.5</v>
      </c>
      <c r="CV85" s="28">
        <f>'Gen ed tchrs'!Z81*CV$123/2</f>
        <v>56916.224999999999</v>
      </c>
      <c r="DB85" s="28">
        <f t="shared" si="36"/>
        <v>1832011.085</v>
      </c>
      <c r="DC85" s="28">
        <f t="shared" si="37"/>
        <v>937761</v>
      </c>
      <c r="DD85" s="28">
        <f t="shared" si="32"/>
        <v>599742.94999999995</v>
      </c>
      <c r="DE85" s="28">
        <f t="shared" si="38"/>
        <v>1537503.95</v>
      </c>
      <c r="DF85" s="6">
        <f t="shared" si="39"/>
        <v>-294507.13500000001</v>
      </c>
      <c r="DM85" s="34"/>
      <c r="DN85" s="34"/>
    </row>
    <row r="86" spans="1:118" x14ac:dyDescent="0.2">
      <c r="A86">
        <v>300</v>
      </c>
      <c r="B86" t="s">
        <v>43</v>
      </c>
      <c r="C86" t="s">
        <v>7</v>
      </c>
      <c r="D86">
        <v>4</v>
      </c>
      <c r="E86">
        <v>501</v>
      </c>
      <c r="F86">
        <v>421</v>
      </c>
      <c r="G86">
        <v>433</v>
      </c>
      <c r="H86" s="50">
        <f t="shared" si="33"/>
        <v>-12</v>
      </c>
      <c r="I86" s="4">
        <v>0.39321357285429143</v>
      </c>
      <c r="J86">
        <v>197</v>
      </c>
      <c r="K86" s="34">
        <v>198942.26</v>
      </c>
      <c r="L86" s="34">
        <v>0</v>
      </c>
      <c r="M86" s="34">
        <v>0</v>
      </c>
      <c r="N86" s="34">
        <v>71961.03</v>
      </c>
      <c r="O86" s="34">
        <v>6298.4</v>
      </c>
      <c r="P86" s="34">
        <v>79024.509999999995</v>
      </c>
      <c r="Q86" s="34">
        <v>60058.83</v>
      </c>
      <c r="R86" s="34">
        <v>153561.79</v>
      </c>
      <c r="S86" s="34">
        <v>113832.45</v>
      </c>
      <c r="T86" s="34">
        <v>0</v>
      </c>
      <c r="U86" s="34">
        <v>569162.23</v>
      </c>
      <c r="V86" s="34">
        <v>0</v>
      </c>
      <c r="W86" s="34">
        <v>195832.13</v>
      </c>
      <c r="X86" s="34">
        <v>143352</v>
      </c>
      <c r="Y86" s="34">
        <v>0</v>
      </c>
      <c r="Z86" s="34">
        <v>0</v>
      </c>
      <c r="AA86" s="34">
        <v>0</v>
      </c>
      <c r="AB86" s="34">
        <v>0</v>
      </c>
      <c r="AC86" s="34">
        <v>0</v>
      </c>
      <c r="AD86" s="34">
        <v>0</v>
      </c>
      <c r="AE86" s="34">
        <v>0</v>
      </c>
      <c r="AF86" s="34">
        <v>2514633</v>
      </c>
      <c r="AG86" s="34">
        <v>162825</v>
      </c>
      <c r="AH86" s="34">
        <v>113832.45</v>
      </c>
      <c r="AI86" s="34">
        <v>227664.89</v>
      </c>
      <c r="AJ86" s="34">
        <v>569162.23</v>
      </c>
      <c r="AK86" s="34">
        <v>0</v>
      </c>
      <c r="AL86" s="34">
        <v>0</v>
      </c>
      <c r="AM86" s="34">
        <v>0</v>
      </c>
      <c r="AN86" s="34">
        <v>0</v>
      </c>
      <c r="AO86" s="34">
        <v>0</v>
      </c>
      <c r="AP86" s="34">
        <v>102138.3</v>
      </c>
      <c r="AQ86" s="34">
        <v>0</v>
      </c>
      <c r="AR86" s="34">
        <v>1707486.69</v>
      </c>
      <c r="AS86" s="34">
        <v>0</v>
      </c>
      <c r="AT86" s="34">
        <v>39166.43</v>
      </c>
      <c r="AU86" s="34">
        <v>573408</v>
      </c>
      <c r="AV86" s="34">
        <v>27200</v>
      </c>
      <c r="AW86" s="34">
        <v>47600</v>
      </c>
      <c r="AX86" s="34">
        <v>10200</v>
      </c>
      <c r="AY86" s="34">
        <v>0</v>
      </c>
      <c r="AZ86" s="34">
        <v>47600</v>
      </c>
      <c r="BA86" s="34">
        <v>0</v>
      </c>
      <c r="BB86" s="34">
        <v>68000</v>
      </c>
      <c r="BC86" s="34">
        <v>119492.8</v>
      </c>
      <c r="BD86" s="34">
        <v>1924.73</v>
      </c>
      <c r="BE86" s="34">
        <v>0</v>
      </c>
      <c r="BF86" s="34">
        <v>0</v>
      </c>
      <c r="BG86" s="34">
        <v>0</v>
      </c>
      <c r="BH86" s="34">
        <v>0</v>
      </c>
      <c r="BI86" s="34">
        <v>0</v>
      </c>
      <c r="BJ86" s="34">
        <v>0</v>
      </c>
      <c r="BK86" s="34">
        <v>0</v>
      </c>
      <c r="BL86" s="34">
        <v>0</v>
      </c>
      <c r="BM86" s="34">
        <v>0</v>
      </c>
      <c r="BN86" s="34">
        <v>0</v>
      </c>
      <c r="BO86" s="34">
        <v>0</v>
      </c>
      <c r="BP86" s="34">
        <v>82400</v>
      </c>
      <c r="BQ86" s="34">
        <v>0</v>
      </c>
      <c r="BR86" s="34">
        <v>0</v>
      </c>
      <c r="BS86" s="34">
        <v>0</v>
      </c>
      <c r="BT86" s="34">
        <v>0</v>
      </c>
      <c r="BU86" s="34">
        <v>0</v>
      </c>
      <c r="BV86" s="34">
        <v>0</v>
      </c>
      <c r="BW86" s="34">
        <v>0</v>
      </c>
      <c r="BX86" s="34">
        <v>0</v>
      </c>
      <c r="BY86" s="34">
        <v>0</v>
      </c>
      <c r="BZ86" s="34">
        <v>0</v>
      </c>
      <c r="CA86" s="34">
        <v>528453.29</v>
      </c>
      <c r="CB86" s="34">
        <v>0</v>
      </c>
      <c r="CC86" s="34">
        <v>388944.04</v>
      </c>
      <c r="CD86" s="34">
        <v>138336.74</v>
      </c>
      <c r="CE86" s="34">
        <v>0</v>
      </c>
      <c r="CF86" s="34">
        <v>0</v>
      </c>
      <c r="CJ86" s="28">
        <f t="shared" si="34"/>
        <v>9062494.2199999988</v>
      </c>
      <c r="CK86" s="28">
        <v>113832</v>
      </c>
      <c r="CL86" s="28">
        <f t="shared" ref="CL86:CL88" si="42">E86/400*CL$123</f>
        <v>198596.4</v>
      </c>
      <c r="CM86" s="34">
        <f t="shared" si="31"/>
        <v>92387</v>
      </c>
      <c r="CN86" s="34">
        <f t="shared" si="35"/>
        <v>42816.766467065871</v>
      </c>
      <c r="CQ86" s="28">
        <f>IF('Gen ed tchrs'!$V82&gt;37,2*113832,IF('Gen ed tchrs'!$V82&gt;25,1.5*113832,113832))</f>
        <v>170748</v>
      </c>
      <c r="CR86" s="28">
        <f>IF('Gen ed tchrs'!$V82&gt;37,2*113832,IF('Gen ed tchrs'!$V82&gt;25,1.5*113832,113832))</f>
        <v>170748</v>
      </c>
      <c r="CS86" s="28">
        <f>IF('Gen ed tchrs'!$V82&gt;39.1,3.5*113832,IF('Gen ed tchrs'!$V82&gt;33.1,3*113832,IF('Gen ed tchrs'!$V82&gt;26.1,2.5*113832,IF('Gen ed tchrs'!$V82&gt;20.1,2*113832,IF('Gen ed tchrs'!$V82&gt;13.1,1.5*113832,113832)))))</f>
        <v>284580</v>
      </c>
      <c r="CT86" s="34">
        <f>VLOOKUP($A86,'PosxSchpostCouncil 22'!$A$6:$DP$121,94,FALSE)*CT$123</f>
        <v>156665.72</v>
      </c>
      <c r="CU86" s="28">
        <f>VLOOKUP($A86,'Gen ed tchrs'!A82:R197,18,FALSE)*CU$123</f>
        <v>2504313.9</v>
      </c>
      <c r="CV86" s="28">
        <f>'Gen ed tchrs'!Z82*CV$123/2</f>
        <v>60366.771140624995</v>
      </c>
      <c r="DB86" s="28">
        <f t="shared" si="36"/>
        <v>3795054.5576076908</v>
      </c>
      <c r="DC86" s="28">
        <f t="shared" si="37"/>
        <v>2514633</v>
      </c>
      <c r="DD86" s="28">
        <f t="shared" si="32"/>
        <v>527280.78</v>
      </c>
      <c r="DE86" s="28">
        <f t="shared" si="38"/>
        <v>3041913.7800000003</v>
      </c>
      <c r="DF86" s="6">
        <f t="shared" si="39"/>
        <v>-753140.77760769054</v>
      </c>
      <c r="DM86" s="34"/>
      <c r="DN86" s="34"/>
    </row>
    <row r="87" spans="1:118" x14ac:dyDescent="0.2">
      <c r="A87">
        <v>316</v>
      </c>
      <c r="B87" t="s">
        <v>42</v>
      </c>
      <c r="C87" t="s">
        <v>7</v>
      </c>
      <c r="D87">
        <v>7</v>
      </c>
      <c r="E87">
        <v>304</v>
      </c>
      <c r="F87">
        <v>220</v>
      </c>
      <c r="G87">
        <v>252</v>
      </c>
      <c r="H87" s="50">
        <f t="shared" si="33"/>
        <v>-32</v>
      </c>
      <c r="I87" s="4">
        <v>0.57894736842105265</v>
      </c>
      <c r="J87">
        <v>176</v>
      </c>
      <c r="K87" s="34">
        <v>198942.26</v>
      </c>
      <c r="L87" s="34">
        <v>0</v>
      </c>
      <c r="M87" s="34">
        <v>0</v>
      </c>
      <c r="N87" s="34">
        <v>71961.03</v>
      </c>
      <c r="O87" s="34">
        <v>6469.35</v>
      </c>
      <c r="P87" s="34">
        <v>79024.509999999995</v>
      </c>
      <c r="Q87" s="34">
        <v>60058.83</v>
      </c>
      <c r="R87" s="34">
        <v>102374.53</v>
      </c>
      <c r="S87" s="34">
        <v>113832.45</v>
      </c>
      <c r="T87" s="34">
        <v>341497.34</v>
      </c>
      <c r="U87" s="34">
        <v>0</v>
      </c>
      <c r="V87" s="34">
        <v>341497.34</v>
      </c>
      <c r="W87" s="34">
        <v>234998.56</v>
      </c>
      <c r="X87" s="34">
        <v>150519.6</v>
      </c>
      <c r="Y87" s="34">
        <v>0</v>
      </c>
      <c r="Z87" s="34">
        <v>0</v>
      </c>
      <c r="AA87" s="34">
        <v>0</v>
      </c>
      <c r="AB87" s="34">
        <v>0</v>
      </c>
      <c r="AC87" s="34">
        <v>0</v>
      </c>
      <c r="AD87" s="34">
        <v>0</v>
      </c>
      <c r="AE87" s="34">
        <v>0</v>
      </c>
      <c r="AF87" s="34">
        <v>1314060</v>
      </c>
      <c r="AG87" s="34">
        <v>98800</v>
      </c>
      <c r="AH87" s="34">
        <v>113832.45</v>
      </c>
      <c r="AI87" s="34">
        <v>113832.45</v>
      </c>
      <c r="AJ87" s="34">
        <v>455329.78</v>
      </c>
      <c r="AK87" s="34">
        <v>227664.89</v>
      </c>
      <c r="AL87" s="34">
        <v>117499.28</v>
      </c>
      <c r="AM87" s="34">
        <v>0</v>
      </c>
      <c r="AN87" s="34">
        <v>57558.06</v>
      </c>
      <c r="AO87" s="34">
        <v>0</v>
      </c>
      <c r="AP87" s="34">
        <v>93178.8</v>
      </c>
      <c r="AQ87" s="34">
        <v>0</v>
      </c>
      <c r="AR87" s="34">
        <v>0</v>
      </c>
      <c r="AS87" s="34">
        <v>10244.92</v>
      </c>
      <c r="AT87" s="34">
        <v>0</v>
      </c>
      <c r="AU87" s="34">
        <v>3583.8</v>
      </c>
      <c r="AV87" s="34">
        <v>13600</v>
      </c>
      <c r="AW87" s="34">
        <v>13600</v>
      </c>
      <c r="AX87" s="34">
        <v>0</v>
      </c>
      <c r="AY87" s="34">
        <v>0</v>
      </c>
      <c r="AZ87" s="34">
        <v>20400</v>
      </c>
      <c r="BA87" s="34">
        <v>10200</v>
      </c>
      <c r="BB87" s="34">
        <v>20400</v>
      </c>
      <c r="BC87" s="34">
        <v>136810.6</v>
      </c>
      <c r="BD87" s="34">
        <v>2203.6799999999998</v>
      </c>
      <c r="BE87" s="34">
        <v>0</v>
      </c>
      <c r="BF87" s="34">
        <v>0</v>
      </c>
      <c r="BG87" s="34">
        <v>0</v>
      </c>
      <c r="BH87" s="34">
        <v>0</v>
      </c>
      <c r="BI87" s="34">
        <v>0</v>
      </c>
      <c r="BJ87" s="34">
        <v>0</v>
      </c>
      <c r="BK87" s="34">
        <v>0</v>
      </c>
      <c r="BL87" s="34">
        <v>0</v>
      </c>
      <c r="BM87" s="34">
        <v>0</v>
      </c>
      <c r="BN87" s="34">
        <v>0</v>
      </c>
      <c r="BO87" s="34">
        <v>0</v>
      </c>
      <c r="BP87" s="34">
        <v>0</v>
      </c>
      <c r="BQ87" s="34">
        <v>0</v>
      </c>
      <c r="BR87" s="34">
        <v>0</v>
      </c>
      <c r="BS87" s="34">
        <v>0</v>
      </c>
      <c r="BT87" s="34">
        <v>0</v>
      </c>
      <c r="BU87" s="34">
        <v>15325</v>
      </c>
      <c r="BV87" s="34">
        <v>0</v>
      </c>
      <c r="BW87" s="34">
        <v>0</v>
      </c>
      <c r="BX87" s="34">
        <v>0</v>
      </c>
      <c r="BY87" s="34">
        <v>0</v>
      </c>
      <c r="BZ87" s="34">
        <v>0</v>
      </c>
      <c r="CA87" s="34">
        <v>472120.7</v>
      </c>
      <c r="CB87" s="34">
        <v>64986.239999999998</v>
      </c>
      <c r="CC87" s="34">
        <v>0</v>
      </c>
      <c r="CD87" s="34">
        <v>0</v>
      </c>
      <c r="CE87" s="34">
        <v>248619.62</v>
      </c>
      <c r="CF87" s="34">
        <v>0</v>
      </c>
      <c r="CJ87" s="28">
        <f t="shared" si="34"/>
        <v>5325026.0699999994</v>
      </c>
      <c r="CK87" s="28">
        <v>113832</v>
      </c>
      <c r="CL87" s="28">
        <f t="shared" si="42"/>
        <v>120505.60000000001</v>
      </c>
      <c r="CM87" s="34">
        <f t="shared" si="31"/>
        <v>92387</v>
      </c>
      <c r="CN87" s="34">
        <f t="shared" si="35"/>
        <v>0</v>
      </c>
      <c r="CQ87" s="28">
        <f>IF('Gen ed tchrs'!$V83&gt;37,2*113832,IF('Gen ed tchrs'!$V83&gt;25,1.5*113832,113832))</f>
        <v>113832</v>
      </c>
      <c r="CR87" s="28">
        <f>IF('Gen ed tchrs'!$V83&gt;37,2*113832,IF('Gen ed tchrs'!$V83&gt;25,1.5*113832,113832))</f>
        <v>113832</v>
      </c>
      <c r="CS87" s="28">
        <f>IF('Gen ed tchrs'!$V83&gt;39.1,3.5*113832,IF('Gen ed tchrs'!$V83&gt;33.1,3*113832,IF('Gen ed tchrs'!$V83&gt;26.1,2.5*113832,IF('Gen ed tchrs'!$V83&gt;20.1,2*113832,IF('Gen ed tchrs'!$V83&gt;13.1,1.5*113832,113832)))))</f>
        <v>170748</v>
      </c>
      <c r="CT87" s="34">
        <f>VLOOKUP($A87,'PosxSchpostCouncil 22'!$A$6:$DP$121,94,FALSE)*CT$123</f>
        <v>78332.86</v>
      </c>
      <c r="CU87" s="28">
        <f>VLOOKUP($A87,'Gen ed tchrs'!A83:R198,18,FALSE)*CU$123</f>
        <v>1479821.8499999999</v>
      </c>
      <c r="CV87" s="28">
        <f>'Gen ed tchrs'!Z83*CV$123/2</f>
        <v>24473.976749999994</v>
      </c>
      <c r="DB87" s="28">
        <f t="shared" si="36"/>
        <v>2307765.2867499995</v>
      </c>
      <c r="DC87" s="28">
        <f t="shared" si="37"/>
        <v>1314060</v>
      </c>
      <c r="DD87" s="28">
        <f t="shared" si="32"/>
        <v>248619.62</v>
      </c>
      <c r="DE87" s="28">
        <f t="shared" si="38"/>
        <v>1562679.62</v>
      </c>
      <c r="DF87" s="6">
        <f t="shared" si="39"/>
        <v>-745085.66674999939</v>
      </c>
      <c r="DM87" s="34"/>
      <c r="DN87" s="34"/>
    </row>
    <row r="88" spans="1:118" x14ac:dyDescent="0.2">
      <c r="A88">
        <v>302</v>
      </c>
      <c r="B88" t="s">
        <v>41</v>
      </c>
      <c r="C88" t="s">
        <v>7</v>
      </c>
      <c r="D88">
        <v>4</v>
      </c>
      <c r="E88">
        <v>394</v>
      </c>
      <c r="F88">
        <v>304</v>
      </c>
      <c r="G88">
        <v>371</v>
      </c>
      <c r="H88" s="50">
        <f t="shared" si="33"/>
        <v>-67</v>
      </c>
      <c r="I88" s="4">
        <v>0.53045685279187815</v>
      </c>
      <c r="J88">
        <v>209</v>
      </c>
      <c r="K88" s="34">
        <v>198942.26</v>
      </c>
      <c r="L88" s="34">
        <v>0</v>
      </c>
      <c r="M88" s="34">
        <v>0</v>
      </c>
      <c r="N88" s="34">
        <v>71961.03</v>
      </c>
      <c r="O88" s="34">
        <v>6391.35</v>
      </c>
      <c r="P88" s="34">
        <v>79024.509999999995</v>
      </c>
      <c r="Q88" s="34">
        <v>60058.83</v>
      </c>
      <c r="R88" s="34">
        <v>102374.53</v>
      </c>
      <c r="S88" s="34">
        <v>113832.45</v>
      </c>
      <c r="T88" s="34">
        <v>341497.34</v>
      </c>
      <c r="U88" s="34">
        <v>0</v>
      </c>
      <c r="V88" s="34">
        <v>341497.34</v>
      </c>
      <c r="W88" s="34">
        <v>234998.56</v>
      </c>
      <c r="X88" s="34">
        <v>161271</v>
      </c>
      <c r="Y88" s="34">
        <v>0</v>
      </c>
      <c r="Z88" s="34">
        <v>0</v>
      </c>
      <c r="AA88" s="34">
        <v>0</v>
      </c>
      <c r="AB88" s="34">
        <v>0</v>
      </c>
      <c r="AC88" s="34">
        <v>0</v>
      </c>
      <c r="AD88" s="34">
        <v>0</v>
      </c>
      <c r="AE88" s="34">
        <v>0</v>
      </c>
      <c r="AF88" s="34">
        <v>1815792</v>
      </c>
      <c r="AG88" s="34">
        <v>128050</v>
      </c>
      <c r="AH88" s="34">
        <v>113832.45</v>
      </c>
      <c r="AI88" s="34">
        <v>227664.89</v>
      </c>
      <c r="AJ88" s="34">
        <v>455329.78</v>
      </c>
      <c r="AK88" s="34">
        <v>341497.34</v>
      </c>
      <c r="AL88" s="34">
        <v>234998.56</v>
      </c>
      <c r="AM88" s="34">
        <v>0</v>
      </c>
      <c r="AN88" s="34">
        <v>0</v>
      </c>
      <c r="AO88" s="34">
        <v>0</v>
      </c>
      <c r="AP88" s="34">
        <v>139768.20000000001</v>
      </c>
      <c r="AQ88" s="34">
        <v>0</v>
      </c>
      <c r="AR88" s="34">
        <v>1138324.46</v>
      </c>
      <c r="AS88" s="34">
        <v>0</v>
      </c>
      <c r="AT88" s="34">
        <v>39166.43</v>
      </c>
      <c r="AU88" s="34">
        <v>376299</v>
      </c>
      <c r="AV88" s="34">
        <v>20400</v>
      </c>
      <c r="AW88" s="34">
        <v>13600</v>
      </c>
      <c r="AX88" s="34">
        <v>0</v>
      </c>
      <c r="AY88" s="34">
        <v>0</v>
      </c>
      <c r="AZ88" s="34">
        <v>34000</v>
      </c>
      <c r="BA88" s="34">
        <v>10200</v>
      </c>
      <c r="BB88" s="34">
        <v>27200</v>
      </c>
      <c r="BC88" s="34">
        <v>159323.74</v>
      </c>
      <c r="BD88" s="34">
        <v>2566.31</v>
      </c>
      <c r="BE88" s="34">
        <v>0</v>
      </c>
      <c r="BF88" s="34">
        <v>0</v>
      </c>
      <c r="BG88" s="34">
        <v>0</v>
      </c>
      <c r="BH88" s="34">
        <v>0</v>
      </c>
      <c r="BI88" s="34">
        <v>0</v>
      </c>
      <c r="BJ88" s="34">
        <v>0</v>
      </c>
      <c r="BK88" s="34">
        <v>0</v>
      </c>
      <c r="BL88" s="34">
        <v>0</v>
      </c>
      <c r="BM88" s="34">
        <v>0</v>
      </c>
      <c r="BN88" s="34">
        <v>0</v>
      </c>
      <c r="BO88" s="34">
        <v>0</v>
      </c>
      <c r="BP88" s="34">
        <v>0</v>
      </c>
      <c r="BQ88" s="34">
        <v>0</v>
      </c>
      <c r="BR88" s="34">
        <v>0</v>
      </c>
      <c r="BS88" s="34">
        <v>0</v>
      </c>
      <c r="BT88" s="34">
        <v>0</v>
      </c>
      <c r="BU88" s="34">
        <v>15325</v>
      </c>
      <c r="BV88" s="34">
        <v>0</v>
      </c>
      <c r="BW88" s="34">
        <v>0</v>
      </c>
      <c r="BX88" s="34">
        <v>0</v>
      </c>
      <c r="BY88" s="34">
        <v>0</v>
      </c>
      <c r="BZ88" s="34">
        <v>0</v>
      </c>
      <c r="CA88" s="34">
        <v>560643.34</v>
      </c>
      <c r="CB88" s="34">
        <v>61402.44</v>
      </c>
      <c r="CC88" s="34">
        <v>421074.37</v>
      </c>
      <c r="CD88" s="34">
        <v>74789.73</v>
      </c>
      <c r="CE88" s="34">
        <v>0</v>
      </c>
      <c r="CF88" s="34">
        <v>373179.98</v>
      </c>
      <c r="CJ88" s="28">
        <f t="shared" si="34"/>
        <v>8496277.2200000007</v>
      </c>
      <c r="CK88" s="28">
        <v>113832</v>
      </c>
      <c r="CL88" s="28">
        <f t="shared" si="42"/>
        <v>156181.6</v>
      </c>
      <c r="CM88" s="34">
        <f t="shared" si="31"/>
        <v>92387</v>
      </c>
      <c r="CN88" s="34">
        <f t="shared" si="35"/>
        <v>0</v>
      </c>
      <c r="CQ88" s="28">
        <f>IF('Gen ed tchrs'!$V84&gt;37,2*113832,IF('Gen ed tchrs'!$V84&gt;25,1.5*113832,113832))</f>
        <v>113832</v>
      </c>
      <c r="CR88" s="28">
        <f>IF('Gen ed tchrs'!$V84&gt;37,2*113832,IF('Gen ed tchrs'!$V84&gt;25,1.5*113832,113832))</f>
        <v>113832</v>
      </c>
      <c r="CS88" s="28">
        <f>IF('Gen ed tchrs'!$V84&gt;39.1,3.5*113832,IF('Gen ed tchrs'!$V84&gt;33.1,3*113832,IF('Gen ed tchrs'!$V84&gt;26.1,2.5*113832,IF('Gen ed tchrs'!$V84&gt;20.1,2*113832,IF('Gen ed tchrs'!$V84&gt;13.1,1.5*113832,113832)))))</f>
        <v>227664</v>
      </c>
      <c r="CT88" s="34">
        <f>VLOOKUP($A88,'PosxSchpostCouncil 22'!$A$6:$DP$121,94,FALSE)*CT$123</f>
        <v>117499.29000000001</v>
      </c>
      <c r="CU88" s="28">
        <f>VLOOKUP($A88,'Gen ed tchrs'!A84:R199,18,FALSE)*CU$123</f>
        <v>1821319.2</v>
      </c>
      <c r="CV88" s="28">
        <f>'Gen ed tchrs'!Z84*CV$123/2</f>
        <v>14869.363781249998</v>
      </c>
      <c r="DB88" s="28">
        <f t="shared" si="36"/>
        <v>2771416.4537812499</v>
      </c>
      <c r="DC88" s="28">
        <f t="shared" si="37"/>
        <v>1815792</v>
      </c>
      <c r="DD88" s="28">
        <f t="shared" si="32"/>
        <v>869044.08</v>
      </c>
      <c r="DE88" s="28">
        <f t="shared" si="38"/>
        <v>2684836.08</v>
      </c>
      <c r="DF88" s="6">
        <f t="shared" si="39"/>
        <v>-86580.373781249858</v>
      </c>
      <c r="DM88" s="34"/>
      <c r="DN88" s="34"/>
    </row>
    <row r="89" spans="1:118" x14ac:dyDescent="0.2">
      <c r="A89">
        <v>304</v>
      </c>
      <c r="B89" t="s">
        <v>40</v>
      </c>
      <c r="C89" t="s">
        <v>39</v>
      </c>
      <c r="D89">
        <v>7</v>
      </c>
      <c r="E89">
        <v>106</v>
      </c>
      <c r="F89">
        <v>106</v>
      </c>
      <c r="G89">
        <v>132</v>
      </c>
      <c r="H89" s="50">
        <f t="shared" si="33"/>
        <v>-26</v>
      </c>
      <c r="I89" s="4">
        <v>0.5</v>
      </c>
      <c r="J89">
        <v>53</v>
      </c>
      <c r="K89" s="34">
        <v>198942.26</v>
      </c>
      <c r="L89" s="34">
        <v>0</v>
      </c>
      <c r="M89" s="34">
        <v>0</v>
      </c>
      <c r="N89" s="34">
        <v>71961.03</v>
      </c>
      <c r="O89" s="34">
        <v>5596</v>
      </c>
      <c r="P89" s="34">
        <v>79024.509999999995</v>
      </c>
      <c r="Q89" s="34">
        <v>60058.83</v>
      </c>
      <c r="R89" s="34">
        <v>51187.26</v>
      </c>
      <c r="S89" s="34">
        <v>113832.45</v>
      </c>
      <c r="T89" s="34">
        <v>0</v>
      </c>
      <c r="U89" s="34">
        <v>0</v>
      </c>
      <c r="V89" s="34">
        <v>0</v>
      </c>
      <c r="W89" s="34">
        <v>0</v>
      </c>
      <c r="X89" s="34">
        <v>0</v>
      </c>
      <c r="Y89" s="34">
        <v>0</v>
      </c>
      <c r="Z89" s="34">
        <v>0</v>
      </c>
      <c r="AA89" s="34">
        <v>0</v>
      </c>
      <c r="AB89" s="34">
        <v>113832.45</v>
      </c>
      <c r="AC89" s="34">
        <v>0</v>
      </c>
      <c r="AD89" s="34">
        <v>0</v>
      </c>
      <c r="AE89" s="34">
        <v>0</v>
      </c>
      <c r="AF89" s="34">
        <v>633138</v>
      </c>
      <c r="AG89" s="34">
        <v>228112</v>
      </c>
      <c r="AH89" s="34">
        <v>113832.45</v>
      </c>
      <c r="AI89" s="34">
        <v>113832.45</v>
      </c>
      <c r="AJ89" s="34">
        <v>0</v>
      </c>
      <c r="AK89" s="34">
        <v>2390481.37</v>
      </c>
      <c r="AL89" s="34">
        <v>0</v>
      </c>
      <c r="AM89" s="34">
        <v>1048434.09</v>
      </c>
      <c r="AN89" s="34">
        <v>0</v>
      </c>
      <c r="AO89" s="34">
        <v>0</v>
      </c>
      <c r="AP89" s="34">
        <v>189941.4</v>
      </c>
      <c r="AQ89" s="34">
        <v>284912.09999999998</v>
      </c>
      <c r="AR89" s="34">
        <v>113832.45</v>
      </c>
      <c r="AS89" s="34">
        <v>0</v>
      </c>
      <c r="AT89" s="34">
        <v>0</v>
      </c>
      <c r="AU89" s="34">
        <v>23294.7</v>
      </c>
      <c r="AV89" s="34">
        <v>27200</v>
      </c>
      <c r="AW89" s="34">
        <v>20400</v>
      </c>
      <c r="AX89" s="34">
        <v>0</v>
      </c>
      <c r="AY89" s="34">
        <v>0</v>
      </c>
      <c r="AZ89" s="34">
        <v>54400</v>
      </c>
      <c r="BA89" s="34">
        <v>10200</v>
      </c>
      <c r="BB89" s="34">
        <v>27200</v>
      </c>
      <c r="BC89" s="34">
        <v>51953.39</v>
      </c>
      <c r="BD89" s="34">
        <v>836.84</v>
      </c>
      <c r="BE89" s="34">
        <v>0</v>
      </c>
      <c r="BF89" s="34">
        <v>0</v>
      </c>
      <c r="BG89" s="34">
        <v>0</v>
      </c>
      <c r="BH89" s="34">
        <v>0</v>
      </c>
      <c r="BI89" s="34">
        <v>0</v>
      </c>
      <c r="BJ89" s="34">
        <v>0</v>
      </c>
      <c r="BK89" s="34">
        <v>0</v>
      </c>
      <c r="BL89" s="34">
        <v>0</v>
      </c>
      <c r="BM89" s="34">
        <v>0</v>
      </c>
      <c r="BN89" s="34">
        <v>0</v>
      </c>
      <c r="BO89" s="34">
        <v>0</v>
      </c>
      <c r="BP89" s="34">
        <v>0</v>
      </c>
      <c r="BQ89" s="34">
        <v>0</v>
      </c>
      <c r="BR89" s="34">
        <v>0</v>
      </c>
      <c r="BS89" s="34">
        <v>0</v>
      </c>
      <c r="BT89" s="34">
        <v>0</v>
      </c>
      <c r="BU89" s="34">
        <v>0</v>
      </c>
      <c r="BV89" s="34">
        <v>0</v>
      </c>
      <c r="BW89" s="34">
        <v>0</v>
      </c>
      <c r="BX89" s="34">
        <v>147878.60999999999</v>
      </c>
      <c r="BY89" s="34">
        <v>0</v>
      </c>
      <c r="BZ89" s="34">
        <v>0</v>
      </c>
      <c r="CA89" s="34">
        <v>142172.71</v>
      </c>
      <c r="CB89" s="34">
        <v>12662.76</v>
      </c>
      <c r="CC89" s="34">
        <v>0</v>
      </c>
      <c r="CD89" s="34">
        <v>0</v>
      </c>
      <c r="CE89" s="34">
        <v>0</v>
      </c>
      <c r="CF89" s="34">
        <v>0</v>
      </c>
      <c r="CJ89" s="28">
        <f t="shared" si="34"/>
        <v>6329150.1100000003</v>
      </c>
      <c r="CK89" s="28">
        <v>113832</v>
      </c>
      <c r="CM89" s="34">
        <f t="shared" si="31"/>
        <v>46193.5</v>
      </c>
      <c r="CN89" s="34">
        <f t="shared" si="35"/>
        <v>0</v>
      </c>
      <c r="CU89" s="59" t="s">
        <v>34</v>
      </c>
      <c r="CV89" s="28">
        <f>'Gen ed tchrs'!Z85*CV$123/2</f>
        <v>-56916.224999999999</v>
      </c>
      <c r="DB89" s="28">
        <f t="shared" si="36"/>
        <v>103109.27499999999</v>
      </c>
      <c r="DC89" s="28">
        <f t="shared" si="37"/>
        <v>633138</v>
      </c>
      <c r="DD89" s="28">
        <f t="shared" si="32"/>
        <v>0</v>
      </c>
      <c r="DE89" s="28">
        <f t="shared" si="38"/>
        <v>633138</v>
      </c>
      <c r="DF89" s="6">
        <f t="shared" si="39"/>
        <v>530028.72499999998</v>
      </c>
      <c r="DM89" s="34"/>
      <c r="DN89" s="34"/>
    </row>
    <row r="90" spans="1:118" x14ac:dyDescent="0.2">
      <c r="A90">
        <v>436</v>
      </c>
      <c r="B90" t="s">
        <v>38</v>
      </c>
      <c r="C90" t="s">
        <v>1</v>
      </c>
      <c r="D90">
        <v>7</v>
      </c>
      <c r="E90">
        <v>200</v>
      </c>
      <c r="F90">
        <v>200</v>
      </c>
      <c r="G90">
        <v>216</v>
      </c>
      <c r="H90" s="50">
        <f t="shared" si="33"/>
        <v>-16</v>
      </c>
      <c r="I90" s="4">
        <v>0.8</v>
      </c>
      <c r="J90">
        <v>160</v>
      </c>
      <c r="K90" s="34">
        <v>198942.26</v>
      </c>
      <c r="L90" s="34">
        <v>0</v>
      </c>
      <c r="M90" s="34">
        <v>128424.93</v>
      </c>
      <c r="N90" s="34">
        <v>71961.03</v>
      </c>
      <c r="O90" s="34">
        <v>16547.77</v>
      </c>
      <c r="P90" s="34">
        <v>79024.509999999995</v>
      </c>
      <c r="Q90" s="34">
        <v>60058.83</v>
      </c>
      <c r="R90" s="34">
        <v>255936.32</v>
      </c>
      <c r="S90" s="34">
        <v>113832.45</v>
      </c>
      <c r="T90" s="34">
        <v>0</v>
      </c>
      <c r="U90" s="34">
        <v>0</v>
      </c>
      <c r="V90" s="34">
        <v>0</v>
      </c>
      <c r="W90" s="34">
        <v>0</v>
      </c>
      <c r="X90" s="34">
        <v>0</v>
      </c>
      <c r="Y90" s="34">
        <v>0</v>
      </c>
      <c r="Z90" s="34">
        <v>0</v>
      </c>
      <c r="AA90" s="34">
        <v>0</v>
      </c>
      <c r="AB90" s="34">
        <v>113832.45</v>
      </c>
      <c r="AC90" s="34">
        <v>0</v>
      </c>
      <c r="AD90" s="34">
        <v>0</v>
      </c>
      <c r="AE90" s="34">
        <v>227664.89</v>
      </c>
      <c r="AF90" s="34">
        <v>1194600</v>
      </c>
      <c r="AG90" s="34">
        <v>118600</v>
      </c>
      <c r="AH90" s="34">
        <v>170748.67</v>
      </c>
      <c r="AI90" s="34">
        <v>284581.12</v>
      </c>
      <c r="AJ90" s="34">
        <v>682994.68</v>
      </c>
      <c r="AK90" s="34">
        <v>0</v>
      </c>
      <c r="AL90" s="34">
        <v>0</v>
      </c>
      <c r="AM90" s="34">
        <v>0</v>
      </c>
      <c r="AN90" s="34">
        <v>0</v>
      </c>
      <c r="AO90" s="34">
        <v>0</v>
      </c>
      <c r="AP90" s="34">
        <v>87803.1</v>
      </c>
      <c r="AQ90" s="34">
        <v>0</v>
      </c>
      <c r="AR90" s="34">
        <v>0</v>
      </c>
      <c r="AS90" s="34">
        <v>5691.62</v>
      </c>
      <c r="AT90" s="34">
        <v>0</v>
      </c>
      <c r="AU90" s="34">
        <v>1791.9</v>
      </c>
      <c r="AV90" s="34">
        <v>0</v>
      </c>
      <c r="AW90" s="34">
        <v>0</v>
      </c>
      <c r="AX90" s="34">
        <v>0</v>
      </c>
      <c r="AY90" s="34">
        <v>60000</v>
      </c>
      <c r="AZ90" s="34">
        <v>0</v>
      </c>
      <c r="BA90" s="34">
        <v>0</v>
      </c>
      <c r="BB90" s="34">
        <v>0</v>
      </c>
      <c r="BC90" s="34">
        <v>69271.19</v>
      </c>
      <c r="BD90" s="34">
        <v>1115.79</v>
      </c>
      <c r="BE90" s="34">
        <v>0</v>
      </c>
      <c r="BF90" s="34">
        <v>0</v>
      </c>
      <c r="BG90" s="34">
        <v>158559.82</v>
      </c>
      <c r="BH90" s="34">
        <v>14666.09</v>
      </c>
      <c r="BI90" s="34">
        <v>20550</v>
      </c>
      <c r="BJ90" s="34">
        <v>8400</v>
      </c>
      <c r="BK90" s="34">
        <v>0</v>
      </c>
      <c r="BL90" s="34">
        <v>0</v>
      </c>
      <c r="BM90" s="34">
        <v>0</v>
      </c>
      <c r="BN90" s="34">
        <v>0</v>
      </c>
      <c r="BO90" s="34">
        <v>0</v>
      </c>
      <c r="BP90" s="34">
        <v>0</v>
      </c>
      <c r="BQ90" s="34">
        <v>0</v>
      </c>
      <c r="BR90" s="34">
        <v>0</v>
      </c>
      <c r="BS90" s="34">
        <v>0</v>
      </c>
      <c r="BT90" s="34">
        <v>0</v>
      </c>
      <c r="BU90" s="34">
        <v>0</v>
      </c>
      <c r="BV90" s="34">
        <v>0</v>
      </c>
      <c r="BW90" s="34">
        <v>0</v>
      </c>
      <c r="BX90" s="34">
        <v>0</v>
      </c>
      <c r="BY90" s="34">
        <v>0</v>
      </c>
      <c r="BZ90" s="34">
        <v>0</v>
      </c>
      <c r="CA90" s="34">
        <v>469438.2</v>
      </c>
      <c r="CB90" s="34">
        <v>119460</v>
      </c>
      <c r="CC90" s="34">
        <v>318599.71999999997</v>
      </c>
      <c r="CD90" s="34">
        <v>85615.88</v>
      </c>
      <c r="CE90" s="34">
        <v>60690.65</v>
      </c>
      <c r="CF90" s="34">
        <v>1258206.3400000001</v>
      </c>
      <c r="CJ90" s="28">
        <f t="shared" si="34"/>
        <v>6457610.21</v>
      </c>
      <c r="CK90" s="28">
        <v>113832</v>
      </c>
      <c r="CL90" s="28">
        <f t="shared" ref="CL90:CL92" si="43">E90/300*CL$123</f>
        <v>105706.66666666666</v>
      </c>
      <c r="CM90" s="34">
        <f t="shared" si="31"/>
        <v>46193.5</v>
      </c>
      <c r="CN90" s="34">
        <f t="shared" si="35"/>
        <v>0</v>
      </c>
      <c r="CO90" s="28">
        <f t="shared" ref="CO90:CP92" si="44">CO$123</f>
        <v>58500</v>
      </c>
      <c r="CP90" s="28">
        <f t="shared" si="44"/>
        <v>70673</v>
      </c>
      <c r="CU90" s="28">
        <f>VLOOKUP($A90,'Gen ed tchrs'!A86:R201,18,FALSE)*CU$123</f>
        <v>1935151.65</v>
      </c>
      <c r="CV90" s="28">
        <f>'Gen ed tchrs'!Z86*CV$123/2</f>
        <v>142290.5625</v>
      </c>
      <c r="CW90" s="34">
        <v>119483</v>
      </c>
      <c r="DB90" s="28">
        <f t="shared" si="36"/>
        <v>2591830.3791666664</v>
      </c>
      <c r="DC90" s="28">
        <f t="shared" si="37"/>
        <v>1194600</v>
      </c>
      <c r="DD90" s="28">
        <f t="shared" si="32"/>
        <v>1723112.59</v>
      </c>
      <c r="DE90" s="28">
        <f t="shared" si="38"/>
        <v>2917712.59</v>
      </c>
      <c r="DF90" s="6">
        <f t="shared" si="39"/>
        <v>325882.21083333343</v>
      </c>
      <c r="DM90" s="34"/>
      <c r="DN90" s="34"/>
    </row>
    <row r="91" spans="1:118" x14ac:dyDescent="0.2">
      <c r="A91">
        <v>459</v>
      </c>
      <c r="B91" t="s">
        <v>37</v>
      </c>
      <c r="C91" t="s">
        <v>1</v>
      </c>
      <c r="D91">
        <v>4</v>
      </c>
      <c r="E91">
        <v>868</v>
      </c>
      <c r="F91">
        <v>868</v>
      </c>
      <c r="G91">
        <v>790</v>
      </c>
      <c r="H91" s="50">
        <f t="shared" si="33"/>
        <v>78</v>
      </c>
      <c r="I91" s="4">
        <v>0.72119815668202769</v>
      </c>
      <c r="J91">
        <v>626</v>
      </c>
      <c r="K91" s="34">
        <v>198942.26</v>
      </c>
      <c r="L91" s="34">
        <v>0</v>
      </c>
      <c r="M91" s="34">
        <v>449487.26</v>
      </c>
      <c r="N91" s="34">
        <v>71961.03</v>
      </c>
      <c r="O91" s="34">
        <v>25689</v>
      </c>
      <c r="P91" s="34">
        <v>79024.509999999995</v>
      </c>
      <c r="Q91" s="34">
        <v>60058.83</v>
      </c>
      <c r="R91" s="34">
        <v>409498.11</v>
      </c>
      <c r="S91" s="34">
        <v>113832.45</v>
      </c>
      <c r="T91" s="34">
        <v>0</v>
      </c>
      <c r="U91" s="34">
        <v>0</v>
      </c>
      <c r="V91" s="34">
        <v>0</v>
      </c>
      <c r="W91" s="34">
        <v>0</v>
      </c>
      <c r="X91" s="34">
        <v>0</v>
      </c>
      <c r="Y91" s="34">
        <v>0</v>
      </c>
      <c r="Z91" s="34">
        <v>0</v>
      </c>
      <c r="AA91" s="34">
        <v>0</v>
      </c>
      <c r="AB91" s="34">
        <v>227664.89</v>
      </c>
      <c r="AC91" s="34">
        <v>0</v>
      </c>
      <c r="AD91" s="34">
        <v>0</v>
      </c>
      <c r="AE91" s="34">
        <v>227664.89</v>
      </c>
      <c r="AF91" s="34">
        <v>5184564</v>
      </c>
      <c r="AG91" s="34">
        <v>514724</v>
      </c>
      <c r="AH91" s="34">
        <v>227664.89</v>
      </c>
      <c r="AI91" s="34">
        <v>569162.23</v>
      </c>
      <c r="AJ91" s="34">
        <v>1252156.9099999999</v>
      </c>
      <c r="AK91" s="34">
        <v>682994.68</v>
      </c>
      <c r="AL91" s="34">
        <v>313331.40999999997</v>
      </c>
      <c r="AM91" s="34">
        <v>0</v>
      </c>
      <c r="AN91" s="34">
        <v>57558.06</v>
      </c>
      <c r="AO91" s="34">
        <v>0</v>
      </c>
      <c r="AP91" s="34">
        <v>277744.5</v>
      </c>
      <c r="AQ91" s="34">
        <v>0</v>
      </c>
      <c r="AR91" s="34">
        <v>1707486.69</v>
      </c>
      <c r="AS91" s="34">
        <v>0</v>
      </c>
      <c r="AT91" s="34">
        <v>78332.850000000006</v>
      </c>
      <c r="AU91" s="34">
        <v>591327</v>
      </c>
      <c r="AV91" s="34">
        <v>0</v>
      </c>
      <c r="AW91" s="34">
        <v>0</v>
      </c>
      <c r="AX91" s="34">
        <v>0</v>
      </c>
      <c r="AY91" s="34">
        <v>75000</v>
      </c>
      <c r="AZ91" s="34">
        <v>0</v>
      </c>
      <c r="BA91" s="34">
        <v>0</v>
      </c>
      <c r="BB91" s="34">
        <v>0</v>
      </c>
      <c r="BC91" s="34">
        <v>309988.58</v>
      </c>
      <c r="BD91" s="34">
        <v>4993.1499999999996</v>
      </c>
      <c r="BE91" s="34">
        <v>0</v>
      </c>
      <c r="BF91" s="34">
        <v>0</v>
      </c>
      <c r="BG91" s="34">
        <v>158559.82</v>
      </c>
      <c r="BH91" s="34">
        <v>25216.09</v>
      </c>
      <c r="BI91" s="34">
        <v>10000</v>
      </c>
      <c r="BJ91" s="34">
        <v>36800</v>
      </c>
      <c r="BK91" s="34">
        <v>0</v>
      </c>
      <c r="BL91" s="34">
        <v>0</v>
      </c>
      <c r="BM91" s="34">
        <v>119483.41</v>
      </c>
      <c r="BN91" s="34">
        <v>3000</v>
      </c>
      <c r="BO91" s="34">
        <v>0</v>
      </c>
      <c r="BP91" s="34">
        <v>35100</v>
      </c>
      <c r="BQ91" s="34">
        <v>113832.45</v>
      </c>
      <c r="BR91" s="34">
        <v>0</v>
      </c>
      <c r="BS91" s="34">
        <v>140941</v>
      </c>
      <c r="BT91" s="34">
        <v>5000</v>
      </c>
      <c r="BU91" s="34">
        <v>0</v>
      </c>
      <c r="BV91" s="34">
        <v>0</v>
      </c>
      <c r="BW91" s="34">
        <v>188121</v>
      </c>
      <c r="BX91" s="34">
        <v>147878.60999999999</v>
      </c>
      <c r="BY91" s="34">
        <v>0</v>
      </c>
      <c r="BZ91" s="34">
        <v>0</v>
      </c>
      <c r="CA91" s="34">
        <v>1890494.69</v>
      </c>
      <c r="CB91" s="34">
        <v>355035.12</v>
      </c>
      <c r="CC91" s="34">
        <v>0</v>
      </c>
      <c r="CD91" s="34">
        <v>0</v>
      </c>
      <c r="CE91" s="34">
        <v>0</v>
      </c>
      <c r="CF91" s="34">
        <v>0</v>
      </c>
      <c r="CJ91" s="28">
        <f t="shared" si="34"/>
        <v>16940314.369999997</v>
      </c>
      <c r="CK91" s="28">
        <v>113832</v>
      </c>
      <c r="CL91" s="28">
        <f t="shared" si="43"/>
        <v>458766.93333333335</v>
      </c>
      <c r="CM91" s="34">
        <f t="shared" si="31"/>
        <v>92387</v>
      </c>
      <c r="CN91" s="34">
        <f t="shared" si="35"/>
        <v>24713.364055299538</v>
      </c>
      <c r="CO91" s="28">
        <f t="shared" si="44"/>
        <v>58500</v>
      </c>
      <c r="CP91" s="28">
        <f t="shared" si="44"/>
        <v>70673</v>
      </c>
      <c r="CU91" s="28">
        <f>VLOOKUP($A91,'Gen ed tchrs'!A87:R202,18,FALSE)*CU$123</f>
        <v>5577790.0499999998</v>
      </c>
      <c r="CV91" s="28">
        <f>'Gen ed tchrs'!Z87*CV$123/2</f>
        <v>47240.46675</v>
      </c>
      <c r="CW91" s="34">
        <v>119483</v>
      </c>
      <c r="DB91" s="28">
        <f t="shared" si="36"/>
        <v>6563385.8141386323</v>
      </c>
      <c r="DC91" s="28">
        <f t="shared" si="37"/>
        <v>5184564</v>
      </c>
      <c r="DD91" s="28">
        <f t="shared" si="32"/>
        <v>0</v>
      </c>
      <c r="DE91" s="28">
        <f t="shared" si="38"/>
        <v>5184564</v>
      </c>
      <c r="DF91" s="6">
        <f t="shared" si="39"/>
        <v>-1378821.8141386323</v>
      </c>
      <c r="DM91" s="34"/>
      <c r="DN91" s="34"/>
    </row>
    <row r="92" spans="1:118" x14ac:dyDescent="0.2">
      <c r="A92">
        <v>456</v>
      </c>
      <c r="B92" t="s">
        <v>36</v>
      </c>
      <c r="C92" t="s">
        <v>1</v>
      </c>
      <c r="D92">
        <v>4</v>
      </c>
      <c r="E92">
        <v>590</v>
      </c>
      <c r="F92">
        <v>590</v>
      </c>
      <c r="G92">
        <v>695</v>
      </c>
      <c r="H92" s="50">
        <f t="shared" si="33"/>
        <v>-105</v>
      </c>
      <c r="I92" s="4">
        <v>0.66101694915254239</v>
      </c>
      <c r="J92">
        <v>390</v>
      </c>
      <c r="K92" s="34">
        <v>198942.26</v>
      </c>
      <c r="L92" s="34">
        <v>0</v>
      </c>
      <c r="M92" s="34">
        <v>256849.86</v>
      </c>
      <c r="N92" s="34">
        <v>71961.03</v>
      </c>
      <c r="O92" s="34">
        <v>8756</v>
      </c>
      <c r="P92" s="34">
        <v>79024.509999999995</v>
      </c>
      <c r="Q92" s="34">
        <v>60058.83</v>
      </c>
      <c r="R92" s="34">
        <v>153561.79</v>
      </c>
      <c r="S92" s="34">
        <v>113832.45</v>
      </c>
      <c r="T92" s="34">
        <v>0</v>
      </c>
      <c r="U92" s="34">
        <v>0</v>
      </c>
      <c r="V92" s="34">
        <v>0</v>
      </c>
      <c r="W92" s="34">
        <v>0</v>
      </c>
      <c r="X92" s="34">
        <v>0</v>
      </c>
      <c r="Y92" s="34">
        <v>0</v>
      </c>
      <c r="Z92" s="34">
        <v>0</v>
      </c>
      <c r="AA92" s="34">
        <v>0</v>
      </c>
      <c r="AB92" s="34">
        <v>341497.34</v>
      </c>
      <c r="AC92" s="34">
        <v>171819.8</v>
      </c>
      <c r="AD92" s="34">
        <v>0</v>
      </c>
      <c r="AE92" s="34">
        <v>0</v>
      </c>
      <c r="AF92" s="34">
        <v>3524070</v>
      </c>
      <c r="AG92" s="34">
        <v>349870</v>
      </c>
      <c r="AH92" s="34">
        <v>113832.45</v>
      </c>
      <c r="AI92" s="34">
        <v>341497.34</v>
      </c>
      <c r="AJ92" s="34">
        <v>796827.12</v>
      </c>
      <c r="AK92" s="34">
        <v>227664.89</v>
      </c>
      <c r="AL92" s="34">
        <v>78332.850000000006</v>
      </c>
      <c r="AM92" s="34">
        <v>0</v>
      </c>
      <c r="AN92" s="34">
        <v>57558.06</v>
      </c>
      <c r="AO92" s="34">
        <v>0</v>
      </c>
      <c r="AP92" s="34">
        <v>121849.2</v>
      </c>
      <c r="AQ92" s="34">
        <v>0</v>
      </c>
      <c r="AR92" s="34">
        <v>1081408.24</v>
      </c>
      <c r="AS92" s="34">
        <v>0</v>
      </c>
      <c r="AT92" s="34">
        <v>39166.43</v>
      </c>
      <c r="AU92" s="34">
        <v>358380</v>
      </c>
      <c r="AV92" s="34">
        <v>0</v>
      </c>
      <c r="AW92" s="34">
        <v>0</v>
      </c>
      <c r="AX92" s="34">
        <v>0</v>
      </c>
      <c r="AY92" s="34">
        <v>70000</v>
      </c>
      <c r="AZ92" s="34">
        <v>0</v>
      </c>
      <c r="BA92" s="34">
        <v>0</v>
      </c>
      <c r="BB92" s="34">
        <v>0</v>
      </c>
      <c r="BC92" s="34">
        <v>0</v>
      </c>
      <c r="BD92" s="34">
        <v>0</v>
      </c>
      <c r="BE92" s="34">
        <v>14750</v>
      </c>
      <c r="BF92" s="34">
        <v>0</v>
      </c>
      <c r="BG92" s="34">
        <v>0</v>
      </c>
      <c r="BH92" s="34">
        <v>0</v>
      </c>
      <c r="BI92" s="34">
        <v>0</v>
      </c>
      <c r="BJ92" s="34">
        <v>0</v>
      </c>
      <c r="BK92" s="34">
        <v>0</v>
      </c>
      <c r="BL92" s="34">
        <v>0</v>
      </c>
      <c r="BM92" s="34">
        <v>0</v>
      </c>
      <c r="BN92" s="34">
        <v>0</v>
      </c>
      <c r="BO92" s="34">
        <v>0</v>
      </c>
      <c r="BP92" s="34">
        <v>0</v>
      </c>
      <c r="BQ92" s="34">
        <v>0</v>
      </c>
      <c r="BR92" s="34">
        <v>0</v>
      </c>
      <c r="BS92" s="34">
        <v>0</v>
      </c>
      <c r="BT92" s="34">
        <v>0</v>
      </c>
      <c r="BU92" s="34">
        <v>0</v>
      </c>
      <c r="BV92" s="34">
        <v>0</v>
      </c>
      <c r="BW92" s="34">
        <v>0</v>
      </c>
      <c r="BX92" s="34">
        <v>0</v>
      </c>
      <c r="BY92" s="34">
        <v>0</v>
      </c>
      <c r="BZ92" s="34">
        <v>0</v>
      </c>
      <c r="CA92" s="34">
        <v>1307720.7</v>
      </c>
      <c r="CB92" s="34">
        <v>183968.4</v>
      </c>
      <c r="CC92" s="34">
        <v>0</v>
      </c>
      <c r="CD92" s="34">
        <v>0</v>
      </c>
      <c r="CE92" s="34">
        <v>0</v>
      </c>
      <c r="CF92" s="34">
        <v>0</v>
      </c>
      <c r="CJ92" s="28">
        <f t="shared" si="34"/>
        <v>10123199.549999999</v>
      </c>
      <c r="CK92" s="28">
        <v>113832</v>
      </c>
      <c r="CL92" s="28">
        <f t="shared" si="43"/>
        <v>311834.66666666663</v>
      </c>
      <c r="CM92" s="34">
        <f t="shared" si="31"/>
        <v>92387</v>
      </c>
      <c r="CN92" s="34">
        <f t="shared" si="35"/>
        <v>36357.96610169491</v>
      </c>
      <c r="CO92" s="28">
        <f t="shared" si="44"/>
        <v>58500</v>
      </c>
      <c r="CP92" s="28">
        <f t="shared" si="44"/>
        <v>70673</v>
      </c>
      <c r="CU92" s="28">
        <f>VLOOKUP($A92,'Gen ed tchrs'!A88:R203,18,FALSE)*CU$123</f>
        <v>2504313.9</v>
      </c>
      <c r="CV92" s="28">
        <f>'Gen ed tchrs'!Z88*CV$123/2</f>
        <v>86797.243125000023</v>
      </c>
      <c r="DB92" s="28">
        <f t="shared" si="36"/>
        <v>3274695.7758933613</v>
      </c>
      <c r="DC92" s="28">
        <f t="shared" si="37"/>
        <v>3524070</v>
      </c>
      <c r="DD92" s="28">
        <f t="shared" si="32"/>
        <v>0</v>
      </c>
      <c r="DE92" s="28">
        <f t="shared" si="38"/>
        <v>3524070</v>
      </c>
      <c r="DF92" s="6">
        <f t="shared" si="39"/>
        <v>249374.22410663869</v>
      </c>
      <c r="DM92" s="34"/>
      <c r="DN92" s="34"/>
    </row>
    <row r="93" spans="1:118" x14ac:dyDescent="0.2">
      <c r="A93">
        <v>305</v>
      </c>
      <c r="B93" t="s">
        <v>33</v>
      </c>
      <c r="C93" t="s">
        <v>7</v>
      </c>
      <c r="D93">
        <v>2</v>
      </c>
      <c r="E93">
        <v>171</v>
      </c>
      <c r="F93">
        <v>152</v>
      </c>
      <c r="G93">
        <v>162</v>
      </c>
      <c r="H93" s="50">
        <f t="shared" si="33"/>
        <v>-10</v>
      </c>
      <c r="I93" s="4">
        <v>3.5087719298245612E-2</v>
      </c>
      <c r="J93">
        <v>6</v>
      </c>
      <c r="K93" s="34">
        <v>198942.26</v>
      </c>
      <c r="L93" s="34">
        <v>0</v>
      </c>
      <c r="M93" s="34">
        <v>0</v>
      </c>
      <c r="N93" s="34">
        <v>71961.03</v>
      </c>
      <c r="O93" s="34">
        <v>3495.6</v>
      </c>
      <c r="P93" s="34">
        <v>79024.509999999995</v>
      </c>
      <c r="Q93" s="34">
        <v>60058.83</v>
      </c>
      <c r="R93" s="34">
        <v>51187.26</v>
      </c>
      <c r="S93" s="34">
        <v>113832.45</v>
      </c>
      <c r="T93" s="34">
        <v>0</v>
      </c>
      <c r="U93" s="34">
        <v>0</v>
      </c>
      <c r="V93" s="34">
        <v>113832.45</v>
      </c>
      <c r="W93" s="34">
        <v>39166.43</v>
      </c>
      <c r="X93" s="34">
        <v>34046.1</v>
      </c>
      <c r="Y93" s="34">
        <v>0</v>
      </c>
      <c r="Z93" s="34">
        <v>0</v>
      </c>
      <c r="AA93" s="34">
        <v>0</v>
      </c>
      <c r="AB93" s="34">
        <v>0</v>
      </c>
      <c r="AC93" s="34">
        <v>0</v>
      </c>
      <c r="AD93" s="34">
        <v>0</v>
      </c>
      <c r="AE93" s="34">
        <v>0</v>
      </c>
      <c r="AF93" s="34">
        <v>907896</v>
      </c>
      <c r="AG93" s="34">
        <v>55575</v>
      </c>
      <c r="AH93" s="34">
        <v>113832.45</v>
      </c>
      <c r="AI93" s="34">
        <v>113832.45</v>
      </c>
      <c r="AJ93" s="34">
        <v>227664.89</v>
      </c>
      <c r="AK93" s="34">
        <v>0</v>
      </c>
      <c r="AL93" s="34">
        <v>0</v>
      </c>
      <c r="AM93" s="34">
        <v>0</v>
      </c>
      <c r="AN93" s="34">
        <v>0</v>
      </c>
      <c r="AO93" s="34">
        <v>0</v>
      </c>
      <c r="AP93" s="34">
        <v>23294.7</v>
      </c>
      <c r="AQ93" s="34">
        <v>0</v>
      </c>
      <c r="AR93" s="34">
        <v>227664.89</v>
      </c>
      <c r="AS93" s="34">
        <v>0</v>
      </c>
      <c r="AT93" s="34">
        <v>0</v>
      </c>
      <c r="AU93" s="34">
        <v>60924.6</v>
      </c>
      <c r="AV93" s="34">
        <v>0</v>
      </c>
      <c r="AW93" s="34">
        <v>0</v>
      </c>
      <c r="AX93" s="34">
        <v>0</v>
      </c>
      <c r="AY93" s="34">
        <v>0</v>
      </c>
      <c r="AZ93" s="34">
        <v>0</v>
      </c>
      <c r="BA93" s="34">
        <v>0</v>
      </c>
      <c r="BB93" s="34">
        <v>0</v>
      </c>
      <c r="BC93" s="34">
        <v>0</v>
      </c>
      <c r="BD93" s="34">
        <v>0</v>
      </c>
      <c r="BE93" s="34">
        <v>4275</v>
      </c>
      <c r="BF93" s="34">
        <v>0</v>
      </c>
      <c r="BG93" s="34">
        <v>0</v>
      </c>
      <c r="BH93" s="34">
        <v>0</v>
      </c>
      <c r="BI93" s="34">
        <v>0</v>
      </c>
      <c r="BJ93" s="34">
        <v>0</v>
      </c>
      <c r="BK93" s="34">
        <v>0</v>
      </c>
      <c r="BL93" s="34">
        <v>0</v>
      </c>
      <c r="BM93" s="34">
        <v>0</v>
      </c>
      <c r="BN93" s="34">
        <v>0</v>
      </c>
      <c r="BO93" s="34">
        <v>0</v>
      </c>
      <c r="BP93" s="34">
        <v>0</v>
      </c>
      <c r="BQ93" s="34">
        <v>0</v>
      </c>
      <c r="BR93" s="34">
        <v>0</v>
      </c>
      <c r="BS93" s="34">
        <v>0</v>
      </c>
      <c r="BT93" s="34">
        <v>0</v>
      </c>
      <c r="BU93" s="34">
        <v>15325</v>
      </c>
      <c r="BV93" s="34">
        <v>0</v>
      </c>
      <c r="BW93" s="34">
        <v>0</v>
      </c>
      <c r="BX93" s="34">
        <v>0</v>
      </c>
      <c r="BY93" s="34">
        <v>0</v>
      </c>
      <c r="BZ93" s="34">
        <v>0</v>
      </c>
      <c r="CA93" s="34">
        <v>16095.02</v>
      </c>
      <c r="CB93" s="34">
        <v>0</v>
      </c>
      <c r="CC93" s="34">
        <v>16560.560000000001</v>
      </c>
      <c r="CD93" s="34">
        <v>96204.19</v>
      </c>
      <c r="CE93" s="34">
        <v>621121.77</v>
      </c>
      <c r="CF93" s="34">
        <v>0</v>
      </c>
      <c r="CJ93" s="28">
        <f t="shared" si="34"/>
        <v>3265813.4400000004</v>
      </c>
      <c r="CK93" s="28">
        <v>113832</v>
      </c>
      <c r="CM93" s="34">
        <f t="shared" si="31"/>
        <v>46193.5</v>
      </c>
      <c r="CN93" s="34">
        <f t="shared" si="35"/>
        <v>0</v>
      </c>
      <c r="CQ93" s="28">
        <f>IF('Gen ed tchrs'!$V89&gt;37,2*113832,IF('Gen ed tchrs'!$V89&gt;25,1.5*113832,113832))</f>
        <v>113832</v>
      </c>
      <c r="CR93" s="28">
        <f>IF('Gen ed tchrs'!$V89&gt;37,2*113832,IF('Gen ed tchrs'!$V89&gt;25,1.5*113832,113832))</f>
        <v>113832</v>
      </c>
      <c r="CS93" s="28">
        <f>IF('Gen ed tchrs'!$V89&gt;39.1,3.5*113832,IF('Gen ed tchrs'!$V89&gt;33.1,3*113832,IF('Gen ed tchrs'!$V89&gt;26.1,2.5*113832,IF('Gen ed tchrs'!$V89&gt;20.1,2*113832,IF('Gen ed tchrs'!$V89&gt;13.1,1.5*113832,113832)))))</f>
        <v>113832</v>
      </c>
      <c r="CT93" s="34">
        <f>VLOOKUP($A93,'PosxSchpostCouncil 22'!$A$6:$DP$121,94,FALSE)*CT$123</f>
        <v>78332.86</v>
      </c>
      <c r="CU93" s="28">
        <f>VLOOKUP($A93,'Gen ed tchrs'!A89:R204,18,FALSE)*CU$123</f>
        <v>1024492.0499999999</v>
      </c>
      <c r="CV93" s="28">
        <f>'Gen ed tchrs'!Z89*CV$123/2</f>
        <v>56916.224999999999</v>
      </c>
      <c r="DB93" s="28">
        <f t="shared" si="36"/>
        <v>1661262.635</v>
      </c>
      <c r="DC93" s="28">
        <f t="shared" si="37"/>
        <v>907896</v>
      </c>
      <c r="DD93" s="28">
        <f t="shared" si="32"/>
        <v>733886.52</v>
      </c>
      <c r="DE93" s="28">
        <f t="shared" si="38"/>
        <v>1641782.52</v>
      </c>
      <c r="DF93" s="6">
        <f t="shared" si="39"/>
        <v>-19480.114999999991</v>
      </c>
      <c r="DM93" s="34"/>
      <c r="DN93" s="34"/>
    </row>
    <row r="94" spans="1:118" x14ac:dyDescent="0.2">
      <c r="A94">
        <v>307</v>
      </c>
      <c r="B94" t="s">
        <v>32</v>
      </c>
      <c r="C94" t="s">
        <v>7</v>
      </c>
      <c r="D94">
        <v>8</v>
      </c>
      <c r="E94">
        <v>265</v>
      </c>
      <c r="F94">
        <v>207</v>
      </c>
      <c r="G94">
        <v>202</v>
      </c>
      <c r="H94" s="50">
        <f t="shared" si="33"/>
        <v>5</v>
      </c>
      <c r="I94" s="4">
        <v>0.84905660377358494</v>
      </c>
      <c r="J94">
        <v>225</v>
      </c>
      <c r="K94" s="34">
        <v>198942.26</v>
      </c>
      <c r="L94" s="34">
        <v>0</v>
      </c>
      <c r="M94" s="34">
        <v>0</v>
      </c>
      <c r="N94" s="34">
        <v>71961.03</v>
      </c>
      <c r="O94" s="34">
        <v>7007.65</v>
      </c>
      <c r="P94" s="34">
        <v>79024.509999999995</v>
      </c>
      <c r="Q94" s="34">
        <v>60058.83</v>
      </c>
      <c r="R94" s="34">
        <v>51187.26</v>
      </c>
      <c r="S94" s="34">
        <v>113832.45</v>
      </c>
      <c r="T94" s="34">
        <v>227664.89</v>
      </c>
      <c r="U94" s="34">
        <v>0</v>
      </c>
      <c r="V94" s="34">
        <v>227664.89</v>
      </c>
      <c r="W94" s="34">
        <v>156665.71</v>
      </c>
      <c r="X94" s="34">
        <v>103930.2</v>
      </c>
      <c r="Y94" s="34">
        <v>0</v>
      </c>
      <c r="Z94" s="34">
        <v>0</v>
      </c>
      <c r="AA94" s="34">
        <v>0</v>
      </c>
      <c r="AB94" s="34">
        <v>0</v>
      </c>
      <c r="AC94" s="34">
        <v>0</v>
      </c>
      <c r="AD94" s="34">
        <v>0</v>
      </c>
      <c r="AE94" s="34">
        <v>0</v>
      </c>
      <c r="AF94" s="34">
        <v>1236411</v>
      </c>
      <c r="AG94" s="34">
        <v>86125</v>
      </c>
      <c r="AH94" s="34">
        <v>113832.45</v>
      </c>
      <c r="AI94" s="34">
        <v>113832.45</v>
      </c>
      <c r="AJ94" s="34">
        <v>341497.34</v>
      </c>
      <c r="AK94" s="34">
        <v>455329.78</v>
      </c>
      <c r="AL94" s="34">
        <v>234998.56</v>
      </c>
      <c r="AM94" s="34">
        <v>0</v>
      </c>
      <c r="AN94" s="34">
        <v>0</v>
      </c>
      <c r="AO94" s="34">
        <v>0</v>
      </c>
      <c r="AP94" s="34">
        <v>132600.6</v>
      </c>
      <c r="AQ94" s="34">
        <v>0</v>
      </c>
      <c r="AR94" s="34">
        <v>0</v>
      </c>
      <c r="AS94" s="34">
        <v>10244.92</v>
      </c>
      <c r="AT94" s="34">
        <v>0</v>
      </c>
      <c r="AU94" s="34">
        <v>3583.8</v>
      </c>
      <c r="AV94" s="34">
        <v>13600</v>
      </c>
      <c r="AW94" s="34">
        <v>6800</v>
      </c>
      <c r="AX94" s="34">
        <v>0</v>
      </c>
      <c r="AY94" s="34">
        <v>0</v>
      </c>
      <c r="AZ94" s="34">
        <v>20400</v>
      </c>
      <c r="BA94" s="34">
        <v>10200</v>
      </c>
      <c r="BB94" s="34">
        <v>13600</v>
      </c>
      <c r="BC94" s="34">
        <v>143413.01</v>
      </c>
      <c r="BD94" s="34">
        <v>2310.0300000000002</v>
      </c>
      <c r="BE94" s="34">
        <v>0</v>
      </c>
      <c r="BF94" s="34">
        <v>0</v>
      </c>
      <c r="BG94" s="34">
        <v>0</v>
      </c>
      <c r="BH94" s="34">
        <v>0</v>
      </c>
      <c r="BI94" s="34">
        <v>0</v>
      </c>
      <c r="BJ94" s="34">
        <v>0</v>
      </c>
      <c r="BK94" s="34">
        <v>0</v>
      </c>
      <c r="BL94" s="34">
        <v>0</v>
      </c>
      <c r="BM94" s="34">
        <v>0</v>
      </c>
      <c r="BN94" s="34">
        <v>0</v>
      </c>
      <c r="BO94" s="34">
        <v>0</v>
      </c>
      <c r="BP94" s="34">
        <v>0</v>
      </c>
      <c r="BQ94" s="34">
        <v>0</v>
      </c>
      <c r="BR94" s="34">
        <v>0</v>
      </c>
      <c r="BS94" s="34">
        <v>0</v>
      </c>
      <c r="BT94" s="34">
        <v>0</v>
      </c>
      <c r="BU94" s="34">
        <v>0</v>
      </c>
      <c r="BV94" s="34">
        <v>0</v>
      </c>
      <c r="BW94" s="34">
        <v>0</v>
      </c>
      <c r="BX94" s="34">
        <v>0</v>
      </c>
      <c r="BY94" s="34">
        <v>0</v>
      </c>
      <c r="BZ94" s="34">
        <v>0</v>
      </c>
      <c r="CA94" s="34">
        <v>603563.4</v>
      </c>
      <c r="CB94" s="34">
        <v>142157.4</v>
      </c>
      <c r="CC94" s="34">
        <v>0</v>
      </c>
      <c r="CD94" s="34">
        <v>0</v>
      </c>
      <c r="CE94" s="34">
        <v>256265.06</v>
      </c>
      <c r="CF94" s="34">
        <v>0</v>
      </c>
      <c r="CJ94" s="28">
        <f t="shared" si="34"/>
        <v>5238704.4800000004</v>
      </c>
      <c r="CK94" s="28">
        <v>113832</v>
      </c>
      <c r="CM94" s="34">
        <f t="shared" si="31"/>
        <v>46193.5</v>
      </c>
      <c r="CN94" s="34">
        <f t="shared" si="35"/>
        <v>0</v>
      </c>
      <c r="CQ94" s="28">
        <f>IF('Gen ed tchrs'!$V90&gt;37,2*113832,IF('Gen ed tchrs'!$V90&gt;25,1.5*113832,113832))</f>
        <v>113832</v>
      </c>
      <c r="CR94" s="28">
        <f>IF('Gen ed tchrs'!$V90&gt;37,2*113832,IF('Gen ed tchrs'!$V90&gt;25,1.5*113832,113832))</f>
        <v>113832</v>
      </c>
      <c r="CS94" s="28">
        <f>IF('Gen ed tchrs'!$V90&gt;39.1,3.5*113832,IF('Gen ed tchrs'!$V90&gt;33.1,3*113832,IF('Gen ed tchrs'!$V90&gt;26.1,2.5*113832,IF('Gen ed tchrs'!$V90&gt;20.1,2*113832,IF('Gen ed tchrs'!$V90&gt;13.1,1.5*113832,113832)))))</f>
        <v>170748</v>
      </c>
      <c r="CT94" s="34">
        <f>VLOOKUP($A94,'PosxSchpostCouncil 22'!$A$6:$DP$121,94,FALSE)*CT$123</f>
        <v>78332.86</v>
      </c>
      <c r="CU94" s="28">
        <f>VLOOKUP($A94,'Gen ed tchrs'!A90:R205,18,FALSE)*CU$123</f>
        <v>1479821.8499999999</v>
      </c>
      <c r="CV94" s="28">
        <f>'Gen ed tchrs'!Z90*CV$123/2</f>
        <v>56916.224999999999</v>
      </c>
      <c r="DB94" s="28">
        <f t="shared" si="36"/>
        <v>2173508.4350000001</v>
      </c>
      <c r="DC94" s="28">
        <f t="shared" si="37"/>
        <v>1236411</v>
      </c>
      <c r="DD94" s="28">
        <f t="shared" si="32"/>
        <v>256265.06</v>
      </c>
      <c r="DE94" s="28">
        <f t="shared" si="38"/>
        <v>1492676.06</v>
      </c>
      <c r="DF94" s="6">
        <f t="shared" si="39"/>
        <v>-680832.375</v>
      </c>
      <c r="DM94" s="34"/>
      <c r="DN94" s="34"/>
    </row>
    <row r="95" spans="1:118" x14ac:dyDescent="0.2">
      <c r="A95">
        <v>409</v>
      </c>
      <c r="B95" t="s">
        <v>31</v>
      </c>
      <c r="C95" t="s">
        <v>4</v>
      </c>
      <c r="D95">
        <v>2</v>
      </c>
      <c r="E95">
        <v>516</v>
      </c>
      <c r="F95">
        <v>447</v>
      </c>
      <c r="G95">
        <v>524</v>
      </c>
      <c r="H95" s="50">
        <f t="shared" si="33"/>
        <v>-77</v>
      </c>
      <c r="I95" s="4">
        <v>0.2558139534883721</v>
      </c>
      <c r="J95">
        <v>132</v>
      </c>
      <c r="K95" s="34">
        <v>198942.26</v>
      </c>
      <c r="L95" s="34">
        <v>113832.45</v>
      </c>
      <c r="M95" s="34">
        <v>0</v>
      </c>
      <c r="N95" s="34">
        <v>71961.03</v>
      </c>
      <c r="O95" s="34">
        <v>7843.55</v>
      </c>
      <c r="P95" s="34">
        <v>79024.509999999995</v>
      </c>
      <c r="Q95" s="34">
        <v>60058.83</v>
      </c>
      <c r="R95" s="34">
        <v>204749.06</v>
      </c>
      <c r="S95" s="34">
        <v>113832.45</v>
      </c>
      <c r="T95" s="34">
        <v>227664.89</v>
      </c>
      <c r="U95" s="34">
        <v>113832.45</v>
      </c>
      <c r="V95" s="34">
        <v>227664.89</v>
      </c>
      <c r="W95" s="34">
        <v>195832.13</v>
      </c>
      <c r="X95" s="34">
        <v>123641.1</v>
      </c>
      <c r="Y95" s="34">
        <v>0</v>
      </c>
      <c r="Z95" s="34">
        <v>0</v>
      </c>
      <c r="AA95" s="34">
        <v>667482.75</v>
      </c>
      <c r="AB95" s="34">
        <v>0</v>
      </c>
      <c r="AC95" s="34">
        <v>0</v>
      </c>
      <c r="AD95" s="34">
        <v>0</v>
      </c>
      <c r="AE95" s="34">
        <v>0</v>
      </c>
      <c r="AF95" s="34">
        <v>2669931</v>
      </c>
      <c r="AG95" s="34">
        <v>170280</v>
      </c>
      <c r="AH95" s="34">
        <v>113832.45</v>
      </c>
      <c r="AI95" s="34">
        <v>227664.89</v>
      </c>
      <c r="AJ95" s="34">
        <v>569162.23</v>
      </c>
      <c r="AK95" s="34">
        <v>569162.23</v>
      </c>
      <c r="AL95" s="34">
        <v>313331.40999999997</v>
      </c>
      <c r="AM95" s="34">
        <v>0</v>
      </c>
      <c r="AN95" s="34">
        <v>0</v>
      </c>
      <c r="AO95" s="34">
        <v>119483.41</v>
      </c>
      <c r="AP95" s="34">
        <v>150519.6</v>
      </c>
      <c r="AQ95" s="34">
        <v>0</v>
      </c>
      <c r="AR95" s="34">
        <v>569162.23</v>
      </c>
      <c r="AS95" s="34">
        <v>0</v>
      </c>
      <c r="AT95" s="34">
        <v>0</v>
      </c>
      <c r="AU95" s="34">
        <v>179190</v>
      </c>
      <c r="AV95" s="34">
        <v>0</v>
      </c>
      <c r="AW95" s="34">
        <v>0</v>
      </c>
      <c r="AX95" s="34">
        <v>0</v>
      </c>
      <c r="AY95" s="34">
        <v>0</v>
      </c>
      <c r="AZ95" s="34">
        <v>0</v>
      </c>
      <c r="BA95" s="34">
        <v>0</v>
      </c>
      <c r="BB95" s="34">
        <v>0</v>
      </c>
      <c r="BC95" s="34">
        <v>0</v>
      </c>
      <c r="BD95" s="34">
        <v>0</v>
      </c>
      <c r="BE95" s="34">
        <v>12900</v>
      </c>
      <c r="BF95" s="34">
        <v>0</v>
      </c>
      <c r="BG95" s="34">
        <v>0</v>
      </c>
      <c r="BH95" s="34">
        <v>0</v>
      </c>
      <c r="BI95" s="34">
        <v>0</v>
      </c>
      <c r="BJ95" s="34">
        <v>0</v>
      </c>
      <c r="BK95" s="34">
        <v>0</v>
      </c>
      <c r="BL95" s="34">
        <v>0</v>
      </c>
      <c r="BM95" s="34">
        <v>0</v>
      </c>
      <c r="BN95" s="34">
        <v>0</v>
      </c>
      <c r="BO95" s="34">
        <v>0</v>
      </c>
      <c r="BP95" s="34">
        <v>0</v>
      </c>
      <c r="BQ95" s="34">
        <v>0</v>
      </c>
      <c r="BR95" s="34">
        <v>0</v>
      </c>
      <c r="BS95" s="34">
        <v>0</v>
      </c>
      <c r="BT95" s="34">
        <v>0</v>
      </c>
      <c r="BU95" s="34">
        <v>15325</v>
      </c>
      <c r="BV95" s="34">
        <v>0</v>
      </c>
      <c r="BW95" s="34">
        <v>0</v>
      </c>
      <c r="BX95" s="34">
        <v>0</v>
      </c>
      <c r="BY95" s="34">
        <v>0</v>
      </c>
      <c r="BZ95" s="34">
        <v>0</v>
      </c>
      <c r="CA95" s="34">
        <v>354090.53</v>
      </c>
      <c r="CB95" s="34">
        <v>0</v>
      </c>
      <c r="CC95" s="34">
        <v>96551.15</v>
      </c>
      <c r="CD95" s="34">
        <v>185313.84</v>
      </c>
      <c r="CE95" s="34">
        <v>0</v>
      </c>
      <c r="CF95" s="34">
        <v>0</v>
      </c>
      <c r="CJ95" s="28">
        <f t="shared" si="34"/>
        <v>8722262.3200000003</v>
      </c>
      <c r="CK95" s="28">
        <v>113832</v>
      </c>
      <c r="CL95" s="28">
        <f>E95/400*CL$123</f>
        <v>204542.4</v>
      </c>
      <c r="CM95" s="34">
        <f t="shared" si="31"/>
        <v>92387</v>
      </c>
      <c r="CN95" s="34">
        <f t="shared" si="35"/>
        <v>41572.093023255817</v>
      </c>
      <c r="CQ95" s="28">
        <v>113832.45</v>
      </c>
      <c r="CR95" s="28">
        <v>113832.45</v>
      </c>
      <c r="CS95" s="28">
        <v>113832.45</v>
      </c>
      <c r="CT95" s="34">
        <f>VLOOKUP($A95,'PosxSchpostCouncil 22'!$A$6:$DP$121,94,FALSE)*CT$123</f>
        <v>78332.86</v>
      </c>
      <c r="CU95" s="28">
        <f>VLOOKUP($A95,'Gen ed tchrs'!A91:R206,18,FALSE)*CU$123</f>
        <v>2731978.8</v>
      </c>
      <c r="CV95" s="28">
        <f>'Gen ed tchrs'!Z91*CV$123/2</f>
        <v>58766.002312499993</v>
      </c>
      <c r="DB95" s="28">
        <f t="shared" si="36"/>
        <v>3662908.5053357556</v>
      </c>
      <c r="DC95" s="28">
        <f t="shared" si="37"/>
        <v>3337413.75</v>
      </c>
      <c r="DD95" s="28">
        <f t="shared" si="32"/>
        <v>281864.99</v>
      </c>
      <c r="DE95" s="28">
        <f t="shared" si="38"/>
        <v>3619278.74</v>
      </c>
      <c r="DF95" s="6">
        <f t="shared" si="39"/>
        <v>-43629.765335755423</v>
      </c>
      <c r="DM95" s="34"/>
      <c r="DN95" s="34"/>
    </row>
    <row r="96" spans="1:118" x14ac:dyDescent="0.2">
      <c r="A96">
        <v>466</v>
      </c>
      <c r="B96" t="s">
        <v>30</v>
      </c>
      <c r="C96" t="s">
        <v>1</v>
      </c>
      <c r="D96">
        <v>2</v>
      </c>
      <c r="E96">
        <v>600</v>
      </c>
      <c r="F96">
        <v>600</v>
      </c>
      <c r="G96">
        <v>600</v>
      </c>
      <c r="H96" s="50">
        <f t="shared" si="33"/>
        <v>0</v>
      </c>
      <c r="I96" s="4">
        <v>0.16833333333333333</v>
      </c>
      <c r="J96">
        <v>101</v>
      </c>
      <c r="K96" s="34">
        <v>198942.26</v>
      </c>
      <c r="L96" s="34">
        <v>0</v>
      </c>
      <c r="M96" s="34">
        <v>321062.33</v>
      </c>
      <c r="N96" s="34">
        <v>71961.03</v>
      </c>
      <c r="O96" s="34">
        <v>5977.49</v>
      </c>
      <c r="P96" s="34">
        <v>79024.509999999995</v>
      </c>
      <c r="Q96" s="34">
        <v>60058.83</v>
      </c>
      <c r="R96" s="34">
        <v>153561.79</v>
      </c>
      <c r="S96" s="34">
        <v>113832.45</v>
      </c>
      <c r="T96" s="34">
        <v>0</v>
      </c>
      <c r="U96" s="34">
        <v>0</v>
      </c>
      <c r="V96" s="34">
        <v>0</v>
      </c>
      <c r="W96" s="34">
        <v>0</v>
      </c>
      <c r="X96" s="34">
        <v>0</v>
      </c>
      <c r="Y96" s="34">
        <v>0</v>
      </c>
      <c r="Z96" s="34">
        <v>0</v>
      </c>
      <c r="AA96" s="34">
        <v>0</v>
      </c>
      <c r="AB96" s="34">
        <v>0</v>
      </c>
      <c r="AC96" s="34">
        <v>0</v>
      </c>
      <c r="AD96" s="34">
        <v>0</v>
      </c>
      <c r="AE96" s="34">
        <v>0</v>
      </c>
      <c r="AF96" s="34">
        <v>3583800</v>
      </c>
      <c r="AG96" s="34">
        <v>355800</v>
      </c>
      <c r="AH96" s="34">
        <v>113832.45</v>
      </c>
      <c r="AI96" s="34">
        <v>227664.89</v>
      </c>
      <c r="AJ96" s="34">
        <v>113832.45</v>
      </c>
      <c r="AK96" s="34">
        <v>0</v>
      </c>
      <c r="AL96" s="34">
        <v>0</v>
      </c>
      <c r="AM96" s="34">
        <v>0</v>
      </c>
      <c r="AN96" s="34">
        <v>0</v>
      </c>
      <c r="AO96" s="34">
        <v>0</v>
      </c>
      <c r="AP96" s="34">
        <v>12543.3</v>
      </c>
      <c r="AQ96" s="34">
        <v>0</v>
      </c>
      <c r="AR96" s="34">
        <v>0</v>
      </c>
      <c r="AS96" s="34">
        <v>10244.92</v>
      </c>
      <c r="AT96" s="34">
        <v>0</v>
      </c>
      <c r="AU96" s="34">
        <v>3583.8</v>
      </c>
      <c r="AV96" s="34">
        <v>0</v>
      </c>
      <c r="AW96" s="34">
        <v>0</v>
      </c>
      <c r="AX96" s="34">
        <v>0</v>
      </c>
      <c r="AY96" s="34">
        <v>0</v>
      </c>
      <c r="AZ96" s="34">
        <v>0</v>
      </c>
      <c r="BA96" s="34">
        <v>0</v>
      </c>
      <c r="BB96" s="34">
        <v>0</v>
      </c>
      <c r="BC96" s="34">
        <v>0</v>
      </c>
      <c r="BD96" s="34">
        <v>0</v>
      </c>
      <c r="BE96" s="34">
        <v>15000</v>
      </c>
      <c r="BF96" s="34">
        <v>0</v>
      </c>
      <c r="BG96" s="34">
        <v>0</v>
      </c>
      <c r="BH96" s="34">
        <v>0</v>
      </c>
      <c r="BI96" s="34">
        <v>0</v>
      </c>
      <c r="BJ96" s="34">
        <v>0</v>
      </c>
      <c r="BK96" s="34">
        <v>0</v>
      </c>
      <c r="BL96" s="34">
        <v>0</v>
      </c>
      <c r="BM96" s="34">
        <v>0</v>
      </c>
      <c r="BN96" s="34">
        <v>0</v>
      </c>
      <c r="BO96" s="34">
        <v>0</v>
      </c>
      <c r="BP96" s="34">
        <v>0</v>
      </c>
      <c r="BQ96" s="34">
        <v>0</v>
      </c>
      <c r="BR96" s="34">
        <v>0</v>
      </c>
      <c r="BS96" s="34">
        <v>0</v>
      </c>
      <c r="BT96" s="34">
        <v>0</v>
      </c>
      <c r="BU96" s="34">
        <v>0</v>
      </c>
      <c r="BV96" s="34">
        <v>519436</v>
      </c>
      <c r="BW96" s="34">
        <v>0</v>
      </c>
      <c r="BX96" s="34">
        <v>0</v>
      </c>
      <c r="BY96" s="34">
        <v>0</v>
      </c>
      <c r="BZ96" s="34">
        <v>0</v>
      </c>
      <c r="CA96" s="34">
        <v>291051.68</v>
      </c>
      <c r="CB96" s="34">
        <v>0</v>
      </c>
      <c r="CC96" s="34">
        <v>0</v>
      </c>
      <c r="CD96" s="34">
        <v>297984.01</v>
      </c>
      <c r="CE96" s="34">
        <v>0</v>
      </c>
      <c r="CF96" s="34">
        <v>0</v>
      </c>
      <c r="CJ96" s="28">
        <f t="shared" si="34"/>
        <v>6549194.1899999985</v>
      </c>
      <c r="CK96" s="28">
        <v>113832</v>
      </c>
      <c r="CL96" s="28">
        <f>E96/300*CL$123</f>
        <v>317120</v>
      </c>
      <c r="CM96" s="34">
        <f t="shared" si="31"/>
        <v>92387</v>
      </c>
      <c r="CN96" s="34">
        <f t="shared" si="35"/>
        <v>35752</v>
      </c>
      <c r="CO96" s="28">
        <f>CO$123</f>
        <v>58500</v>
      </c>
      <c r="CP96" s="28">
        <f>CP$123</f>
        <v>70673</v>
      </c>
      <c r="CU96" s="28">
        <f>VLOOKUP($A96,'Gen ed tchrs'!A92:R207,18,FALSE)*CU$123</f>
        <v>4097968.1999999997</v>
      </c>
      <c r="CV96" s="28">
        <f>'Gen ed tchrs'!Z92*CV$123/2</f>
        <v>85374.337499999994</v>
      </c>
      <c r="CW96" s="34">
        <v>119483</v>
      </c>
      <c r="DB96" s="28">
        <f t="shared" si="36"/>
        <v>4991089.5374999996</v>
      </c>
      <c r="DC96" s="28">
        <f t="shared" si="37"/>
        <v>4103236</v>
      </c>
      <c r="DD96" s="28">
        <f t="shared" si="32"/>
        <v>297984.01</v>
      </c>
      <c r="DE96" s="28">
        <f t="shared" si="38"/>
        <v>4401220.01</v>
      </c>
      <c r="DF96" s="6">
        <f t="shared" si="39"/>
        <v>-589869.52749999985</v>
      </c>
      <c r="DM96" s="34"/>
      <c r="DN96" s="34"/>
    </row>
    <row r="97" spans="1:118" x14ac:dyDescent="0.2">
      <c r="A97">
        <v>943</v>
      </c>
      <c r="B97" t="s">
        <v>29</v>
      </c>
      <c r="C97" t="s">
        <v>7</v>
      </c>
      <c r="D97">
        <v>6</v>
      </c>
      <c r="E97">
        <v>318</v>
      </c>
      <c r="F97">
        <v>248</v>
      </c>
      <c r="G97">
        <v>239</v>
      </c>
      <c r="H97" s="50">
        <f t="shared" si="33"/>
        <v>9</v>
      </c>
      <c r="I97" s="4">
        <v>9.4339622641509441E-2</v>
      </c>
      <c r="J97">
        <v>30</v>
      </c>
      <c r="K97" s="34">
        <v>198942.26</v>
      </c>
      <c r="L97" s="34">
        <v>0</v>
      </c>
      <c r="M97" s="34">
        <v>0</v>
      </c>
      <c r="N97" s="34">
        <v>71961.03</v>
      </c>
      <c r="O97" s="34">
        <v>5416</v>
      </c>
      <c r="P97" s="34">
        <v>79024.509999999995</v>
      </c>
      <c r="Q97" s="34">
        <v>60058.83</v>
      </c>
      <c r="R97" s="34">
        <v>102374.53</v>
      </c>
      <c r="S97" s="34">
        <v>113832.45</v>
      </c>
      <c r="T97" s="34">
        <v>227664.89</v>
      </c>
      <c r="U97" s="34">
        <v>0</v>
      </c>
      <c r="V97" s="34">
        <v>227664.89</v>
      </c>
      <c r="W97" s="34">
        <v>156665.71</v>
      </c>
      <c r="X97" s="34">
        <v>125433</v>
      </c>
      <c r="Y97" s="34">
        <v>0</v>
      </c>
      <c r="Z97" s="34">
        <v>0</v>
      </c>
      <c r="AA97" s="34">
        <v>0</v>
      </c>
      <c r="AB97" s="34">
        <v>0</v>
      </c>
      <c r="AC97" s="34">
        <v>0</v>
      </c>
      <c r="AD97" s="34">
        <v>0</v>
      </c>
      <c r="AE97" s="34">
        <v>0</v>
      </c>
      <c r="AF97" s="34">
        <v>1481304</v>
      </c>
      <c r="AG97" s="34">
        <v>103350</v>
      </c>
      <c r="AH97" s="34">
        <v>113832.45</v>
      </c>
      <c r="AI97" s="34">
        <v>170748.67</v>
      </c>
      <c r="AJ97" s="34">
        <v>341497.34</v>
      </c>
      <c r="AK97" s="34">
        <v>569162.23</v>
      </c>
      <c r="AL97" s="34">
        <v>391664.27</v>
      </c>
      <c r="AM97" s="34">
        <v>0</v>
      </c>
      <c r="AN97" s="34">
        <v>0</v>
      </c>
      <c r="AO97" s="34">
        <v>0</v>
      </c>
      <c r="AP97" s="34">
        <v>130808.7</v>
      </c>
      <c r="AQ97" s="34">
        <v>0</v>
      </c>
      <c r="AR97" s="34">
        <v>0</v>
      </c>
      <c r="AS97" s="34">
        <v>20489.84</v>
      </c>
      <c r="AT97" s="34">
        <v>0</v>
      </c>
      <c r="AU97" s="34">
        <v>7167.6</v>
      </c>
      <c r="AV97" s="34">
        <v>0</v>
      </c>
      <c r="AW97" s="34">
        <v>0</v>
      </c>
      <c r="AX97" s="34">
        <v>0</v>
      </c>
      <c r="AY97" s="34">
        <v>0</v>
      </c>
      <c r="AZ97" s="34">
        <v>0</v>
      </c>
      <c r="BA97" s="34">
        <v>0</v>
      </c>
      <c r="BB97" s="34">
        <v>0</v>
      </c>
      <c r="BC97" s="34">
        <v>0</v>
      </c>
      <c r="BD97" s="34">
        <v>0</v>
      </c>
      <c r="BE97" s="34">
        <v>7950</v>
      </c>
      <c r="BF97" s="34">
        <v>0</v>
      </c>
      <c r="BG97" s="34">
        <v>0</v>
      </c>
      <c r="BH97" s="34">
        <v>0</v>
      </c>
      <c r="BI97" s="34">
        <v>0</v>
      </c>
      <c r="BJ97" s="34">
        <v>0</v>
      </c>
      <c r="BK97" s="34">
        <v>0</v>
      </c>
      <c r="BL97" s="34">
        <v>0</v>
      </c>
      <c r="BM97" s="34">
        <v>0</v>
      </c>
      <c r="BN97" s="34">
        <v>0</v>
      </c>
      <c r="BO97" s="34">
        <v>0</v>
      </c>
      <c r="BP97" s="34">
        <v>0</v>
      </c>
      <c r="BQ97" s="34">
        <v>0</v>
      </c>
      <c r="BR97" s="34">
        <v>0</v>
      </c>
      <c r="BS97" s="34">
        <v>0</v>
      </c>
      <c r="BT97" s="34">
        <v>0</v>
      </c>
      <c r="BU97" s="34">
        <v>0</v>
      </c>
      <c r="BV97" s="34">
        <v>0</v>
      </c>
      <c r="BW97" s="34">
        <v>0</v>
      </c>
      <c r="BX97" s="34">
        <v>0</v>
      </c>
      <c r="BY97" s="34">
        <v>0</v>
      </c>
      <c r="BZ97" s="34">
        <v>0</v>
      </c>
      <c r="CA97" s="34">
        <v>80475.12</v>
      </c>
      <c r="CB97" s="34">
        <v>0</v>
      </c>
      <c r="CC97" s="34">
        <v>265849.77</v>
      </c>
      <c r="CD97" s="34">
        <v>125004.86</v>
      </c>
      <c r="CE97" s="34">
        <v>16402.310000000001</v>
      </c>
      <c r="CF97" s="34">
        <v>247255.08</v>
      </c>
      <c r="CJ97" s="28">
        <f t="shared" si="34"/>
        <v>5442000.3399999999</v>
      </c>
      <c r="CK97" s="28">
        <v>113832</v>
      </c>
      <c r="CL97" s="28">
        <f t="shared" ref="CL97:CL99" si="45">E97/400*CL$123</f>
        <v>126055.20000000001</v>
      </c>
      <c r="CM97" s="34">
        <f t="shared" si="31"/>
        <v>92387</v>
      </c>
      <c r="CN97" s="34">
        <f t="shared" si="35"/>
        <v>0</v>
      </c>
      <c r="CQ97" s="28">
        <f>IF('Gen ed tchrs'!$V93&gt;37,2*113832,IF('Gen ed tchrs'!$V93&gt;25,1.5*113832,113832))</f>
        <v>113832</v>
      </c>
      <c r="CR97" s="28">
        <f>IF('Gen ed tchrs'!$V93&gt;37,2*113832,IF('Gen ed tchrs'!$V93&gt;25,1.5*113832,113832))</f>
        <v>113832</v>
      </c>
      <c r="CS97" s="28">
        <f>IF('Gen ed tchrs'!$V93&gt;39.1,3.5*113832,IF('Gen ed tchrs'!$V93&gt;33.1,3*113832,IF('Gen ed tchrs'!$V93&gt;26.1,2.5*113832,IF('Gen ed tchrs'!$V93&gt;20.1,2*113832,IF('Gen ed tchrs'!$V93&gt;13.1,1.5*113832,113832)))))</f>
        <v>170748</v>
      </c>
      <c r="CT97" s="34">
        <f>VLOOKUP($A97,'PosxSchpostCouncil 22'!$A$6:$DP$121,94,FALSE)*CT$123</f>
        <v>78332.86</v>
      </c>
      <c r="CU97" s="28">
        <f>VLOOKUP($A97,'Gen ed tchrs'!A93:R208,18,FALSE)*CU$123</f>
        <v>1707486.75</v>
      </c>
      <c r="CV97" s="28">
        <f>'Gen ed tchrs'!Z93*CV$123/2</f>
        <v>22979.925843750003</v>
      </c>
      <c r="DB97" s="28">
        <f t="shared" si="36"/>
        <v>2539485.7358437502</v>
      </c>
      <c r="DC97" s="28">
        <f t="shared" si="37"/>
        <v>1481304</v>
      </c>
      <c r="DD97" s="28">
        <f t="shared" si="32"/>
        <v>654512.02</v>
      </c>
      <c r="DE97" s="28">
        <f t="shared" si="38"/>
        <v>2135816.02</v>
      </c>
      <c r="DF97" s="6">
        <f t="shared" si="39"/>
        <v>-403669.71584375016</v>
      </c>
      <c r="DM97" s="34"/>
      <c r="DN97" s="34"/>
    </row>
    <row r="98" spans="1:118" x14ac:dyDescent="0.2">
      <c r="A98">
        <v>309</v>
      </c>
      <c r="B98" t="s">
        <v>28</v>
      </c>
      <c r="C98" t="s">
        <v>7</v>
      </c>
      <c r="D98">
        <v>6</v>
      </c>
      <c r="E98">
        <v>345</v>
      </c>
      <c r="F98">
        <v>250</v>
      </c>
      <c r="G98">
        <v>269</v>
      </c>
      <c r="H98" s="50">
        <f t="shared" si="33"/>
        <v>-19</v>
      </c>
      <c r="I98" s="4">
        <v>0.38550724637681161</v>
      </c>
      <c r="J98">
        <v>133</v>
      </c>
      <c r="K98" s="34">
        <v>198942.26</v>
      </c>
      <c r="L98" s="34">
        <v>0</v>
      </c>
      <c r="M98" s="34">
        <v>0</v>
      </c>
      <c r="N98" s="34">
        <v>71961.03</v>
      </c>
      <c r="O98" s="34">
        <v>5688.15</v>
      </c>
      <c r="P98" s="34">
        <v>79024.509999999995</v>
      </c>
      <c r="Q98" s="34">
        <v>60058.83</v>
      </c>
      <c r="R98" s="34">
        <v>102374.53</v>
      </c>
      <c r="S98" s="34">
        <v>113832.45</v>
      </c>
      <c r="T98" s="34">
        <v>341497.34</v>
      </c>
      <c r="U98" s="34">
        <v>0</v>
      </c>
      <c r="V98" s="34">
        <v>341497.34</v>
      </c>
      <c r="W98" s="34">
        <v>234998.56</v>
      </c>
      <c r="X98" s="34">
        <v>170230.5</v>
      </c>
      <c r="Y98" s="34">
        <v>0</v>
      </c>
      <c r="Z98" s="34">
        <v>0</v>
      </c>
      <c r="AA98" s="34">
        <v>0</v>
      </c>
      <c r="AB98" s="34">
        <v>0</v>
      </c>
      <c r="AC98" s="34">
        <v>0</v>
      </c>
      <c r="AD98" s="34">
        <v>0</v>
      </c>
      <c r="AE98" s="34">
        <v>0</v>
      </c>
      <c r="AF98" s="34">
        <v>1493250</v>
      </c>
      <c r="AG98" s="34">
        <v>112125</v>
      </c>
      <c r="AH98" s="34">
        <v>113832.45</v>
      </c>
      <c r="AI98" s="34">
        <v>227664.89</v>
      </c>
      <c r="AJ98" s="34">
        <v>341497.34</v>
      </c>
      <c r="AK98" s="34">
        <v>455329.78</v>
      </c>
      <c r="AL98" s="34">
        <v>313331.40999999997</v>
      </c>
      <c r="AM98" s="34">
        <v>0</v>
      </c>
      <c r="AN98" s="34">
        <v>0</v>
      </c>
      <c r="AO98" s="34">
        <v>119483.41</v>
      </c>
      <c r="AP98" s="34">
        <v>129016.8</v>
      </c>
      <c r="AQ98" s="34">
        <v>0</v>
      </c>
      <c r="AR98" s="34">
        <v>682994.68</v>
      </c>
      <c r="AS98" s="34">
        <v>0</v>
      </c>
      <c r="AT98" s="34">
        <v>39166.43</v>
      </c>
      <c r="AU98" s="34">
        <v>218611.8</v>
      </c>
      <c r="AV98" s="34">
        <v>27200</v>
      </c>
      <c r="AW98" s="34">
        <v>20400</v>
      </c>
      <c r="AX98" s="34">
        <v>10200</v>
      </c>
      <c r="AY98" s="34">
        <v>0</v>
      </c>
      <c r="AZ98" s="34">
        <v>27200</v>
      </c>
      <c r="BA98" s="34">
        <v>0</v>
      </c>
      <c r="BB98" s="34">
        <v>20400</v>
      </c>
      <c r="BC98" s="34">
        <v>93516.11</v>
      </c>
      <c r="BD98" s="34">
        <v>1506.31</v>
      </c>
      <c r="BE98" s="34">
        <v>0</v>
      </c>
      <c r="BF98" s="34">
        <v>0</v>
      </c>
      <c r="BG98" s="34">
        <v>0</v>
      </c>
      <c r="BH98" s="34">
        <v>0</v>
      </c>
      <c r="BI98" s="34">
        <v>0</v>
      </c>
      <c r="BJ98" s="34">
        <v>0</v>
      </c>
      <c r="BK98" s="34">
        <v>0</v>
      </c>
      <c r="BL98" s="34">
        <v>0</v>
      </c>
      <c r="BM98" s="34">
        <v>0</v>
      </c>
      <c r="BN98" s="34">
        <v>0</v>
      </c>
      <c r="BO98" s="34">
        <v>0</v>
      </c>
      <c r="BP98" s="34">
        <v>0</v>
      </c>
      <c r="BQ98" s="34">
        <v>0</v>
      </c>
      <c r="BR98" s="34">
        <v>0</v>
      </c>
      <c r="BS98" s="34">
        <v>0</v>
      </c>
      <c r="BT98" s="34">
        <v>0</v>
      </c>
      <c r="BU98" s="34">
        <v>15325</v>
      </c>
      <c r="BV98" s="34">
        <v>0</v>
      </c>
      <c r="BW98" s="34">
        <v>0</v>
      </c>
      <c r="BX98" s="34">
        <v>0</v>
      </c>
      <c r="BY98" s="34">
        <v>0</v>
      </c>
      <c r="BZ98" s="34">
        <v>0</v>
      </c>
      <c r="CA98" s="34">
        <v>356773.03</v>
      </c>
      <c r="CB98" s="34">
        <v>0</v>
      </c>
      <c r="CC98" s="34">
        <v>331685.31</v>
      </c>
      <c r="CD98" s="34">
        <v>180636.32</v>
      </c>
      <c r="CE98" s="34">
        <v>0</v>
      </c>
      <c r="CF98" s="34">
        <v>0</v>
      </c>
      <c r="CJ98" s="28">
        <f t="shared" si="34"/>
        <v>7051251.5699999994</v>
      </c>
      <c r="CK98" s="28">
        <v>113832</v>
      </c>
      <c r="CL98" s="28">
        <f t="shared" si="45"/>
        <v>136758</v>
      </c>
      <c r="CM98" s="34">
        <f t="shared" si="31"/>
        <v>92387</v>
      </c>
      <c r="CN98" s="34">
        <f t="shared" si="35"/>
        <v>0</v>
      </c>
      <c r="CQ98" s="28">
        <f>IF('Gen ed tchrs'!$V94&gt;37,2*113832,IF('Gen ed tchrs'!$V94&gt;25,1.5*113832,113832))</f>
        <v>113832</v>
      </c>
      <c r="CR98" s="28">
        <f>IF('Gen ed tchrs'!$V94&gt;37,2*113832,IF('Gen ed tchrs'!$V94&gt;25,1.5*113832,113832))</f>
        <v>113832</v>
      </c>
      <c r="CS98" s="28">
        <f>IF('Gen ed tchrs'!$V94&gt;39.1,3.5*113832,IF('Gen ed tchrs'!$V94&gt;33.1,3*113832,IF('Gen ed tchrs'!$V94&gt;26.1,2.5*113832,IF('Gen ed tchrs'!$V94&gt;20.1,2*113832,IF('Gen ed tchrs'!$V94&gt;13.1,1.5*113832,113832)))))</f>
        <v>170748</v>
      </c>
      <c r="CT98" s="34">
        <f>VLOOKUP($A98,'PosxSchpostCouncil 22'!$A$6:$DP$121,94,FALSE)*CT$123</f>
        <v>117499.29000000001</v>
      </c>
      <c r="CU98" s="28">
        <f>VLOOKUP($A98,'Gen ed tchrs'!A94:R209,18,FALSE)*CU$123</f>
        <v>1593654.3</v>
      </c>
      <c r="CV98" s="28">
        <f>'Gen ed tchrs'!Z94*CV$123/2</f>
        <v>20098.541953124994</v>
      </c>
      <c r="DB98" s="28">
        <f t="shared" si="36"/>
        <v>2472641.1319531249</v>
      </c>
      <c r="DC98" s="28">
        <f t="shared" si="37"/>
        <v>1493250</v>
      </c>
      <c r="DD98" s="28">
        <f t="shared" si="32"/>
        <v>512321.63</v>
      </c>
      <c r="DE98" s="28">
        <f t="shared" si="38"/>
        <v>2005571.63</v>
      </c>
      <c r="DF98" s="6">
        <f t="shared" si="39"/>
        <v>-467069.501953125</v>
      </c>
      <c r="DM98" s="34"/>
      <c r="DN98" s="34"/>
    </row>
    <row r="99" spans="1:118" x14ac:dyDescent="0.2">
      <c r="A99">
        <v>313</v>
      </c>
      <c r="B99" t="s">
        <v>27</v>
      </c>
      <c r="C99" t="s">
        <v>7</v>
      </c>
      <c r="D99">
        <v>4</v>
      </c>
      <c r="E99">
        <v>359</v>
      </c>
      <c r="F99">
        <v>289</v>
      </c>
      <c r="G99">
        <v>300</v>
      </c>
      <c r="H99" s="50">
        <f t="shared" si="33"/>
        <v>-11</v>
      </c>
      <c r="I99" s="4">
        <v>9.7493036211699163E-2</v>
      </c>
      <c r="J99">
        <v>35</v>
      </c>
      <c r="K99" s="34">
        <v>198942.26</v>
      </c>
      <c r="L99" s="34">
        <v>0</v>
      </c>
      <c r="M99" s="34">
        <v>0</v>
      </c>
      <c r="N99" s="34">
        <v>71961.03</v>
      </c>
      <c r="O99" s="34">
        <v>5951.05</v>
      </c>
      <c r="P99" s="34">
        <v>79024.509999999995</v>
      </c>
      <c r="Q99" s="34">
        <v>60058.83</v>
      </c>
      <c r="R99" s="34">
        <v>102374.53</v>
      </c>
      <c r="S99" s="34">
        <v>113832.45</v>
      </c>
      <c r="T99" s="34">
        <v>227664.89</v>
      </c>
      <c r="U99" s="34">
        <v>0</v>
      </c>
      <c r="V99" s="34">
        <v>227664.89</v>
      </c>
      <c r="W99" s="34">
        <v>156665.71</v>
      </c>
      <c r="X99" s="34">
        <v>125433</v>
      </c>
      <c r="Y99" s="34">
        <v>0</v>
      </c>
      <c r="Z99" s="34">
        <v>0</v>
      </c>
      <c r="AA99" s="34">
        <v>0</v>
      </c>
      <c r="AB99" s="34">
        <v>0</v>
      </c>
      <c r="AC99" s="34">
        <v>0</v>
      </c>
      <c r="AD99" s="34">
        <v>0</v>
      </c>
      <c r="AE99" s="34">
        <v>0</v>
      </c>
      <c r="AF99" s="34">
        <v>1726197</v>
      </c>
      <c r="AG99" s="34">
        <v>116675</v>
      </c>
      <c r="AH99" s="34">
        <v>113832.45</v>
      </c>
      <c r="AI99" s="34">
        <v>113832.45</v>
      </c>
      <c r="AJ99" s="34">
        <v>227664.89</v>
      </c>
      <c r="AK99" s="34">
        <v>341497.34</v>
      </c>
      <c r="AL99" s="34">
        <v>234998.56</v>
      </c>
      <c r="AM99" s="34">
        <v>0</v>
      </c>
      <c r="AN99" s="34">
        <v>0</v>
      </c>
      <c r="AO99" s="34">
        <v>0</v>
      </c>
      <c r="AP99" s="34">
        <v>43005.599999999999</v>
      </c>
      <c r="AQ99" s="34">
        <v>0</v>
      </c>
      <c r="AR99" s="34">
        <v>113832.45</v>
      </c>
      <c r="AS99" s="34">
        <v>0</v>
      </c>
      <c r="AT99" s="34">
        <v>0</v>
      </c>
      <c r="AU99" s="34">
        <v>39421.800000000003</v>
      </c>
      <c r="AV99" s="34">
        <v>0</v>
      </c>
      <c r="AW99" s="34">
        <v>0</v>
      </c>
      <c r="AX99" s="34">
        <v>0</v>
      </c>
      <c r="AY99" s="34">
        <v>0</v>
      </c>
      <c r="AZ99" s="34">
        <v>0</v>
      </c>
      <c r="BA99" s="34">
        <v>0</v>
      </c>
      <c r="BB99" s="34">
        <v>0</v>
      </c>
      <c r="BC99" s="34">
        <v>0</v>
      </c>
      <c r="BD99" s="34">
        <v>0</v>
      </c>
      <c r="BE99" s="34">
        <v>8975</v>
      </c>
      <c r="BF99" s="34">
        <v>0</v>
      </c>
      <c r="BG99" s="34">
        <v>0</v>
      </c>
      <c r="BH99" s="34">
        <v>0</v>
      </c>
      <c r="BI99" s="34">
        <v>0</v>
      </c>
      <c r="BJ99" s="34">
        <v>0</v>
      </c>
      <c r="BK99" s="34">
        <v>119483.41</v>
      </c>
      <c r="BL99" s="34">
        <v>21207</v>
      </c>
      <c r="BM99" s="34">
        <v>0</v>
      </c>
      <c r="BN99" s="34">
        <v>0</v>
      </c>
      <c r="BO99" s="34">
        <v>0</v>
      </c>
      <c r="BP99" s="34">
        <v>0</v>
      </c>
      <c r="BQ99" s="34">
        <v>0</v>
      </c>
      <c r="BR99" s="34">
        <v>0</v>
      </c>
      <c r="BS99" s="34">
        <v>0</v>
      </c>
      <c r="BT99" s="34">
        <v>0</v>
      </c>
      <c r="BU99" s="34">
        <v>0</v>
      </c>
      <c r="BV99" s="34">
        <v>0</v>
      </c>
      <c r="BW99" s="34">
        <v>0</v>
      </c>
      <c r="BX99" s="34">
        <v>0</v>
      </c>
      <c r="BY99" s="34">
        <v>0</v>
      </c>
      <c r="BZ99" s="34">
        <v>0</v>
      </c>
      <c r="CA99" s="34">
        <v>93887.64</v>
      </c>
      <c r="CB99" s="34">
        <v>0</v>
      </c>
      <c r="CC99" s="34">
        <v>0</v>
      </c>
      <c r="CD99" s="34">
        <v>55415.31</v>
      </c>
      <c r="CE99" s="34">
        <v>54723.11</v>
      </c>
      <c r="CF99" s="34">
        <v>0</v>
      </c>
      <c r="CJ99" s="28">
        <f t="shared" si="34"/>
        <v>4794222.1599999992</v>
      </c>
      <c r="CK99" s="28">
        <v>113832</v>
      </c>
      <c r="CL99" s="28">
        <f t="shared" si="45"/>
        <v>142307.6</v>
      </c>
      <c r="CM99" s="34">
        <f t="shared" si="31"/>
        <v>92387</v>
      </c>
      <c r="CN99" s="34">
        <f t="shared" si="35"/>
        <v>0</v>
      </c>
      <c r="CQ99" s="28">
        <f>IF('Gen ed tchrs'!$V95&gt;37,2*113832,IF('Gen ed tchrs'!$V95&gt;25,1.5*113832,113832))</f>
        <v>113832</v>
      </c>
      <c r="CR99" s="28">
        <f>IF('Gen ed tchrs'!$V95&gt;37,2*113832,IF('Gen ed tchrs'!$V95&gt;25,1.5*113832,113832))</f>
        <v>113832</v>
      </c>
      <c r="CS99" s="28">
        <f>IF('Gen ed tchrs'!$V95&gt;39.1,3.5*113832,IF('Gen ed tchrs'!$V95&gt;33.1,3*113832,IF('Gen ed tchrs'!$V95&gt;26.1,2.5*113832,IF('Gen ed tchrs'!$V95&gt;20.1,2*113832,IF('Gen ed tchrs'!$V95&gt;13.1,1.5*113832,113832)))))</f>
        <v>170748</v>
      </c>
      <c r="CT99" s="34">
        <f>VLOOKUP($A99,'PosxSchpostCouncil 22'!$A$6:$DP$121,94,FALSE)*CT$123</f>
        <v>78332.86</v>
      </c>
      <c r="CU99" s="28">
        <f>VLOOKUP($A99,'Gen ed tchrs'!A95:R210,18,FALSE)*CU$123</f>
        <v>1821319.2</v>
      </c>
      <c r="CV99" s="28">
        <f>'Gen ed tchrs'!Z95*CV$123/2</f>
        <v>18604.491046874988</v>
      </c>
      <c r="DB99" s="28">
        <f t="shared" si="36"/>
        <v>2665195.1510468749</v>
      </c>
      <c r="DC99" s="28">
        <f t="shared" si="37"/>
        <v>1726197</v>
      </c>
      <c r="DD99" s="28">
        <f t="shared" si="32"/>
        <v>110138.42</v>
      </c>
      <c r="DE99" s="28">
        <f t="shared" si="38"/>
        <v>1836335.42</v>
      </c>
      <c r="DF99" s="6">
        <f t="shared" si="39"/>
        <v>-828859.73104687501</v>
      </c>
      <c r="DM99" s="34"/>
      <c r="DN99" s="34"/>
    </row>
    <row r="100" spans="1:118" x14ac:dyDescent="0.2">
      <c r="A100">
        <v>315</v>
      </c>
      <c r="B100" t="s">
        <v>26</v>
      </c>
      <c r="C100" t="s">
        <v>7</v>
      </c>
      <c r="D100">
        <v>8</v>
      </c>
      <c r="E100">
        <v>229</v>
      </c>
      <c r="F100">
        <v>184</v>
      </c>
      <c r="G100">
        <v>191</v>
      </c>
      <c r="H100" s="50">
        <f t="shared" si="33"/>
        <v>-7</v>
      </c>
      <c r="I100" s="4">
        <v>0.73362445414847166</v>
      </c>
      <c r="J100">
        <v>168</v>
      </c>
      <c r="K100" s="34">
        <v>198942.26</v>
      </c>
      <c r="L100" s="34">
        <v>0</v>
      </c>
      <c r="M100" s="34">
        <v>0</v>
      </c>
      <c r="N100" s="34">
        <v>71961.03</v>
      </c>
      <c r="O100" s="34">
        <v>5764.45</v>
      </c>
      <c r="P100" s="34">
        <v>79024.509999999995</v>
      </c>
      <c r="Q100" s="34">
        <v>60058.83</v>
      </c>
      <c r="R100" s="34">
        <v>51187.26</v>
      </c>
      <c r="S100" s="34">
        <v>113832.45</v>
      </c>
      <c r="T100" s="34">
        <v>113832.45</v>
      </c>
      <c r="U100" s="34">
        <v>113832.45</v>
      </c>
      <c r="V100" s="34">
        <v>113832.45</v>
      </c>
      <c r="W100" s="34">
        <v>117499.28</v>
      </c>
      <c r="X100" s="34">
        <v>80635.5</v>
      </c>
      <c r="Y100" s="34">
        <v>0</v>
      </c>
      <c r="Z100" s="34">
        <v>0</v>
      </c>
      <c r="AA100" s="34">
        <v>0</v>
      </c>
      <c r="AB100" s="34">
        <v>0</v>
      </c>
      <c r="AC100" s="34">
        <v>0</v>
      </c>
      <c r="AD100" s="34">
        <v>0</v>
      </c>
      <c r="AE100" s="34">
        <v>0</v>
      </c>
      <c r="AF100" s="34">
        <v>1099032</v>
      </c>
      <c r="AG100" s="34">
        <v>74425</v>
      </c>
      <c r="AH100" s="34">
        <v>113832.45</v>
      </c>
      <c r="AI100" s="34">
        <v>113832.45</v>
      </c>
      <c r="AJ100" s="34">
        <v>341497.34</v>
      </c>
      <c r="AK100" s="34">
        <v>341497.34</v>
      </c>
      <c r="AL100" s="34">
        <v>234998.56</v>
      </c>
      <c r="AM100" s="34">
        <v>0</v>
      </c>
      <c r="AN100" s="34">
        <v>0</v>
      </c>
      <c r="AO100" s="34">
        <v>0</v>
      </c>
      <c r="AP100" s="34">
        <v>94970.7</v>
      </c>
      <c r="AQ100" s="34">
        <v>0</v>
      </c>
      <c r="AR100" s="34">
        <v>113832.45</v>
      </c>
      <c r="AS100" s="34">
        <v>0</v>
      </c>
      <c r="AT100" s="34">
        <v>0</v>
      </c>
      <c r="AU100" s="34">
        <v>30462.3</v>
      </c>
      <c r="AV100" s="34">
        <v>0</v>
      </c>
      <c r="AW100" s="34">
        <v>0</v>
      </c>
      <c r="AX100" s="34">
        <v>0</v>
      </c>
      <c r="AY100" s="34">
        <v>0</v>
      </c>
      <c r="AZ100" s="34">
        <v>0</v>
      </c>
      <c r="BA100" s="34">
        <v>0</v>
      </c>
      <c r="BB100" s="34">
        <v>0</v>
      </c>
      <c r="BC100" s="34">
        <v>123930.49</v>
      </c>
      <c r="BD100" s="34">
        <v>1996.21</v>
      </c>
      <c r="BE100" s="34">
        <v>0</v>
      </c>
      <c r="BF100" s="34">
        <v>0</v>
      </c>
      <c r="BG100" s="34">
        <v>0</v>
      </c>
      <c r="BH100" s="34">
        <v>0</v>
      </c>
      <c r="BI100" s="34">
        <v>0</v>
      </c>
      <c r="BJ100" s="34">
        <v>0</v>
      </c>
      <c r="BK100" s="34">
        <v>0</v>
      </c>
      <c r="BL100" s="34">
        <v>0</v>
      </c>
      <c r="BM100" s="34">
        <v>0</v>
      </c>
      <c r="BN100" s="34">
        <v>0</v>
      </c>
      <c r="BO100" s="34">
        <v>0</v>
      </c>
      <c r="BP100" s="34">
        <v>0</v>
      </c>
      <c r="BQ100" s="34">
        <v>0</v>
      </c>
      <c r="BR100" s="34">
        <v>0</v>
      </c>
      <c r="BS100" s="34">
        <v>0</v>
      </c>
      <c r="BT100" s="34">
        <v>0</v>
      </c>
      <c r="BU100" s="34">
        <v>15325</v>
      </c>
      <c r="BV100" s="34">
        <v>0</v>
      </c>
      <c r="BW100" s="34">
        <v>0</v>
      </c>
      <c r="BX100" s="34">
        <v>0</v>
      </c>
      <c r="BY100" s="34">
        <v>0</v>
      </c>
      <c r="BZ100" s="34">
        <v>0</v>
      </c>
      <c r="CA100" s="34">
        <v>450660.67</v>
      </c>
      <c r="CB100" s="34">
        <v>91267.44</v>
      </c>
      <c r="CC100" s="34">
        <v>0</v>
      </c>
      <c r="CD100" s="34">
        <v>0</v>
      </c>
      <c r="CE100" s="34">
        <v>364747.67</v>
      </c>
      <c r="CF100" s="34">
        <v>0</v>
      </c>
      <c r="CJ100" s="28">
        <f t="shared" si="34"/>
        <v>4726710.9900000012</v>
      </c>
      <c r="CK100" s="28">
        <v>113832</v>
      </c>
      <c r="CM100" s="34">
        <f t="shared" si="31"/>
        <v>46193.5</v>
      </c>
      <c r="CN100" s="34">
        <f t="shared" si="35"/>
        <v>0</v>
      </c>
      <c r="CQ100" s="28">
        <f>IF('Gen ed tchrs'!$V96&gt;37,2*113832,IF('Gen ed tchrs'!$V96&gt;25,1.5*113832,113832))</f>
        <v>113832</v>
      </c>
      <c r="CR100" s="28">
        <f>IF('Gen ed tchrs'!$V96&gt;37,2*113832,IF('Gen ed tchrs'!$V96&gt;25,1.5*113832,113832))</f>
        <v>113832</v>
      </c>
      <c r="CS100" s="28">
        <f>IF('Gen ed tchrs'!$V96&gt;39.1,3.5*113832,IF('Gen ed tchrs'!$V96&gt;33.1,3*113832,IF('Gen ed tchrs'!$V96&gt;26.1,2.5*113832,IF('Gen ed tchrs'!$V96&gt;20.1,2*113832,IF('Gen ed tchrs'!$V96&gt;13.1,1.5*113832,113832)))))</f>
        <v>170748</v>
      </c>
      <c r="CT100" s="34">
        <f>VLOOKUP($A100,'PosxSchpostCouncil 22'!$A$6:$DP$121,94,FALSE)*CT$123</f>
        <v>39166.43</v>
      </c>
      <c r="CU100" s="28">
        <f>VLOOKUP($A100,'Gen ed tchrs'!A96:R211,18,FALSE)*CU$123</f>
        <v>1252156.95</v>
      </c>
      <c r="CV100" s="28">
        <f>'Gen ed tchrs'!Z96*CV$123/2</f>
        <v>56916.224999999999</v>
      </c>
      <c r="DB100" s="28">
        <f t="shared" si="36"/>
        <v>1906677.105</v>
      </c>
      <c r="DC100" s="28">
        <f t="shared" si="37"/>
        <v>1099032</v>
      </c>
      <c r="DD100" s="28">
        <f t="shared" si="32"/>
        <v>364747.67</v>
      </c>
      <c r="DE100" s="28">
        <f t="shared" si="38"/>
        <v>1463779.67</v>
      </c>
      <c r="DF100" s="6">
        <f t="shared" si="39"/>
        <v>-442897.43500000006</v>
      </c>
      <c r="DM100" s="34"/>
      <c r="DN100" s="34"/>
    </row>
    <row r="101" spans="1:118" x14ac:dyDescent="0.2">
      <c r="A101">
        <v>322</v>
      </c>
      <c r="B101" t="s">
        <v>25</v>
      </c>
      <c r="C101" t="s">
        <v>7</v>
      </c>
      <c r="D101">
        <v>7</v>
      </c>
      <c r="E101">
        <v>210</v>
      </c>
      <c r="F101">
        <v>157</v>
      </c>
      <c r="G101">
        <v>171</v>
      </c>
      <c r="H101" s="50">
        <f t="shared" si="33"/>
        <v>-14</v>
      </c>
      <c r="I101" s="4">
        <v>0.74761904761904763</v>
      </c>
      <c r="J101">
        <v>157</v>
      </c>
      <c r="K101" s="34">
        <v>198942.26</v>
      </c>
      <c r="L101" s="34">
        <v>0</v>
      </c>
      <c r="M101" s="34">
        <v>0</v>
      </c>
      <c r="N101" s="34">
        <v>71961.03</v>
      </c>
      <c r="O101" s="34">
        <v>4493.3</v>
      </c>
      <c r="P101" s="34">
        <v>79024.509999999995</v>
      </c>
      <c r="Q101" s="34">
        <v>60058.83</v>
      </c>
      <c r="R101" s="34">
        <v>51187.26</v>
      </c>
      <c r="S101" s="34">
        <v>113832.45</v>
      </c>
      <c r="T101" s="34">
        <v>227664.89</v>
      </c>
      <c r="U101" s="34">
        <v>0</v>
      </c>
      <c r="V101" s="34">
        <v>227664.89</v>
      </c>
      <c r="W101" s="34">
        <v>156665.71</v>
      </c>
      <c r="X101" s="34">
        <v>94970.7</v>
      </c>
      <c r="Y101" s="34">
        <v>0</v>
      </c>
      <c r="Z101" s="34">
        <v>0</v>
      </c>
      <c r="AA101" s="34">
        <v>0</v>
      </c>
      <c r="AB101" s="34">
        <v>0</v>
      </c>
      <c r="AC101" s="34">
        <v>0</v>
      </c>
      <c r="AD101" s="34">
        <v>0</v>
      </c>
      <c r="AE101" s="34">
        <v>0</v>
      </c>
      <c r="AF101" s="34">
        <v>937761</v>
      </c>
      <c r="AG101" s="34">
        <v>68250</v>
      </c>
      <c r="AH101" s="34">
        <v>113832.45</v>
      </c>
      <c r="AI101" s="34">
        <v>113832.45</v>
      </c>
      <c r="AJ101" s="34">
        <v>341497.34</v>
      </c>
      <c r="AK101" s="34">
        <v>455329.78</v>
      </c>
      <c r="AL101" s="34">
        <v>234998.56</v>
      </c>
      <c r="AM101" s="34">
        <v>0</v>
      </c>
      <c r="AN101" s="34">
        <v>0</v>
      </c>
      <c r="AO101" s="34">
        <v>0</v>
      </c>
      <c r="AP101" s="34">
        <v>103930.2</v>
      </c>
      <c r="AQ101" s="34">
        <v>0</v>
      </c>
      <c r="AR101" s="34">
        <v>113832.45</v>
      </c>
      <c r="AS101" s="34">
        <v>0</v>
      </c>
      <c r="AT101" s="34">
        <v>0</v>
      </c>
      <c r="AU101" s="34">
        <v>30462.3</v>
      </c>
      <c r="AV101" s="34">
        <v>13600</v>
      </c>
      <c r="AW101" s="34">
        <v>6800</v>
      </c>
      <c r="AX101" s="34">
        <v>0</v>
      </c>
      <c r="AY101" s="34">
        <v>0</v>
      </c>
      <c r="AZ101" s="34">
        <v>20400</v>
      </c>
      <c r="BA101" s="34">
        <v>10200</v>
      </c>
      <c r="BB101" s="34">
        <v>13600</v>
      </c>
      <c r="BC101" s="34">
        <v>113648.05</v>
      </c>
      <c r="BD101" s="34">
        <v>1830.59</v>
      </c>
      <c r="BE101" s="34">
        <v>0</v>
      </c>
      <c r="BF101" s="34">
        <v>0</v>
      </c>
      <c r="BG101" s="34">
        <v>0</v>
      </c>
      <c r="BH101" s="34">
        <v>0</v>
      </c>
      <c r="BI101" s="34">
        <v>0</v>
      </c>
      <c r="BJ101" s="34">
        <v>0</v>
      </c>
      <c r="BK101" s="34">
        <v>0</v>
      </c>
      <c r="BL101" s="34">
        <v>0</v>
      </c>
      <c r="BM101" s="34">
        <v>0</v>
      </c>
      <c r="BN101" s="34">
        <v>0</v>
      </c>
      <c r="BO101" s="34">
        <v>0</v>
      </c>
      <c r="BP101" s="34">
        <v>0</v>
      </c>
      <c r="BQ101" s="34">
        <v>0</v>
      </c>
      <c r="BR101" s="34">
        <v>0</v>
      </c>
      <c r="BS101" s="34">
        <v>0</v>
      </c>
      <c r="BT101" s="34">
        <v>0</v>
      </c>
      <c r="BU101" s="34">
        <v>0</v>
      </c>
      <c r="BV101" s="34">
        <v>0</v>
      </c>
      <c r="BW101" s="34">
        <v>0</v>
      </c>
      <c r="BX101" s="34">
        <v>0</v>
      </c>
      <c r="BY101" s="34">
        <v>0</v>
      </c>
      <c r="BZ101" s="34">
        <v>0</v>
      </c>
      <c r="CA101" s="34">
        <v>421153.13</v>
      </c>
      <c r="CB101" s="34">
        <v>87205.8</v>
      </c>
      <c r="CC101" s="34">
        <v>172260.28</v>
      </c>
      <c r="CD101" s="34">
        <v>80363.899999999994</v>
      </c>
      <c r="CE101" s="34">
        <v>165288.28</v>
      </c>
      <c r="CF101" s="34">
        <v>0</v>
      </c>
      <c r="CJ101" s="28">
        <f t="shared" si="34"/>
        <v>4906542.3900000015</v>
      </c>
      <c r="CK101" s="28">
        <v>113832</v>
      </c>
      <c r="CM101" s="34">
        <f t="shared" si="31"/>
        <v>46193.5</v>
      </c>
      <c r="CN101" s="34">
        <f t="shared" si="35"/>
        <v>0</v>
      </c>
      <c r="CQ101" s="28">
        <f>IF('Gen ed tchrs'!$V97&gt;37,2*113832,IF('Gen ed tchrs'!$V97&gt;25,1.5*113832,113832))</f>
        <v>113832</v>
      </c>
      <c r="CR101" s="28">
        <f>IF('Gen ed tchrs'!$V97&gt;37,2*113832,IF('Gen ed tchrs'!$V97&gt;25,1.5*113832,113832))</f>
        <v>113832</v>
      </c>
      <c r="CS101" s="28">
        <f>IF('Gen ed tchrs'!$V97&gt;39.1,3.5*113832,IF('Gen ed tchrs'!$V97&gt;33.1,3*113832,IF('Gen ed tchrs'!$V97&gt;26.1,2.5*113832,IF('Gen ed tchrs'!$V97&gt;20.1,2*113832,IF('Gen ed tchrs'!$V97&gt;13.1,1.5*113832,113832)))))</f>
        <v>170748</v>
      </c>
      <c r="CT101" s="34">
        <f>VLOOKUP($A101,'PosxSchpostCouncil 22'!$A$6:$DP$121,94,FALSE)*CT$123</f>
        <v>78332.86</v>
      </c>
      <c r="CU101" s="28">
        <f>VLOOKUP($A101,'Gen ed tchrs'!A97:R212,18,FALSE)*CU$123</f>
        <v>1138324.5</v>
      </c>
      <c r="CV101" s="28">
        <f>'Gen ed tchrs'!Z97*CV$123/2</f>
        <v>56916.224999999999</v>
      </c>
      <c r="DB101" s="28">
        <f t="shared" si="36"/>
        <v>1832011.085</v>
      </c>
      <c r="DC101" s="28">
        <f t="shared" si="37"/>
        <v>937761</v>
      </c>
      <c r="DD101" s="28">
        <f t="shared" si="32"/>
        <v>417912.45999999996</v>
      </c>
      <c r="DE101" s="28">
        <f t="shared" si="38"/>
        <v>1355673.46</v>
      </c>
      <c r="DF101" s="6">
        <f t="shared" si="39"/>
        <v>-476337.625</v>
      </c>
      <c r="DM101" s="34"/>
      <c r="DN101" s="34"/>
    </row>
    <row r="102" spans="1:118" x14ac:dyDescent="0.2">
      <c r="A102">
        <v>427</v>
      </c>
      <c r="B102" t="s">
        <v>24</v>
      </c>
      <c r="C102" t="s">
        <v>19</v>
      </c>
      <c r="D102">
        <v>7</v>
      </c>
      <c r="E102">
        <v>224</v>
      </c>
      <c r="F102">
        <v>224</v>
      </c>
      <c r="G102">
        <v>276</v>
      </c>
      <c r="H102" s="50">
        <f t="shared" si="33"/>
        <v>-52</v>
      </c>
      <c r="I102" s="4">
        <v>0.75</v>
      </c>
      <c r="J102">
        <v>168</v>
      </c>
      <c r="K102" s="34">
        <v>198942.26</v>
      </c>
      <c r="L102" s="34">
        <v>113832.45</v>
      </c>
      <c r="M102" s="34">
        <v>0</v>
      </c>
      <c r="N102" s="34">
        <v>71961.03</v>
      </c>
      <c r="O102" s="34">
        <v>10456</v>
      </c>
      <c r="P102" s="34">
        <v>79024.509999999995</v>
      </c>
      <c r="Q102" s="34">
        <v>60058.83</v>
      </c>
      <c r="R102" s="34">
        <v>153561.79</v>
      </c>
      <c r="S102" s="34">
        <v>113832.45</v>
      </c>
      <c r="T102" s="34">
        <v>0</v>
      </c>
      <c r="U102" s="34">
        <v>0</v>
      </c>
      <c r="V102" s="34">
        <v>0</v>
      </c>
      <c r="W102" s="34">
        <v>0</v>
      </c>
      <c r="X102" s="34">
        <v>0</v>
      </c>
      <c r="Y102" s="34">
        <v>0</v>
      </c>
      <c r="Z102" s="34">
        <v>0</v>
      </c>
      <c r="AA102" s="34">
        <v>0</v>
      </c>
      <c r="AB102" s="34">
        <v>0</v>
      </c>
      <c r="AC102" s="34">
        <v>0</v>
      </c>
      <c r="AD102" s="34">
        <v>0</v>
      </c>
      <c r="AE102" s="34">
        <v>0</v>
      </c>
      <c r="AF102" s="34">
        <v>1337952</v>
      </c>
      <c r="AG102" s="34">
        <v>76608</v>
      </c>
      <c r="AH102" s="34">
        <v>113832.45</v>
      </c>
      <c r="AI102" s="34">
        <v>170748.67</v>
      </c>
      <c r="AJ102" s="34">
        <v>682994.68</v>
      </c>
      <c r="AK102" s="34">
        <v>455329.78</v>
      </c>
      <c r="AL102" s="34">
        <v>234998.56</v>
      </c>
      <c r="AM102" s="34">
        <v>0</v>
      </c>
      <c r="AN102" s="34">
        <v>0</v>
      </c>
      <c r="AO102" s="34">
        <v>0</v>
      </c>
      <c r="AP102" s="34">
        <v>121849.2</v>
      </c>
      <c r="AQ102" s="34">
        <v>0</v>
      </c>
      <c r="AR102" s="34">
        <v>113832.45</v>
      </c>
      <c r="AS102" s="34">
        <v>0</v>
      </c>
      <c r="AT102" s="34">
        <v>0</v>
      </c>
      <c r="AU102" s="34">
        <v>19710.900000000001</v>
      </c>
      <c r="AV102" s="34">
        <v>0</v>
      </c>
      <c r="AW102" s="34">
        <v>0</v>
      </c>
      <c r="AX102" s="34">
        <v>0</v>
      </c>
      <c r="AY102" s="34">
        <v>0</v>
      </c>
      <c r="AZ102" s="34">
        <v>0</v>
      </c>
      <c r="BA102" s="34">
        <v>0</v>
      </c>
      <c r="BB102" s="34">
        <v>0</v>
      </c>
      <c r="BC102" s="34">
        <v>121224.58</v>
      </c>
      <c r="BD102" s="34">
        <v>1952.63</v>
      </c>
      <c r="BE102" s="34">
        <v>0</v>
      </c>
      <c r="BF102" s="34">
        <v>0</v>
      </c>
      <c r="BG102" s="34">
        <v>0</v>
      </c>
      <c r="BH102" s="34">
        <v>0</v>
      </c>
      <c r="BI102" s="34">
        <v>0</v>
      </c>
      <c r="BJ102" s="34">
        <v>0</v>
      </c>
      <c r="BK102" s="34">
        <v>0</v>
      </c>
      <c r="BL102" s="34">
        <v>0</v>
      </c>
      <c r="BM102" s="34">
        <v>0</v>
      </c>
      <c r="BN102" s="34">
        <v>0</v>
      </c>
      <c r="BO102" s="34">
        <v>0</v>
      </c>
      <c r="BP102" s="34">
        <v>0</v>
      </c>
      <c r="BQ102" s="34">
        <v>0</v>
      </c>
      <c r="BR102" s="34">
        <v>0</v>
      </c>
      <c r="BS102" s="34">
        <v>0</v>
      </c>
      <c r="BT102" s="34">
        <v>0</v>
      </c>
      <c r="BU102" s="34">
        <v>0</v>
      </c>
      <c r="BV102" s="34">
        <v>0</v>
      </c>
      <c r="BW102" s="34">
        <v>55921</v>
      </c>
      <c r="BX102" s="34">
        <v>0</v>
      </c>
      <c r="BY102" s="34">
        <v>0</v>
      </c>
      <c r="BZ102" s="34">
        <v>0</v>
      </c>
      <c r="CA102" s="34">
        <v>450660.67</v>
      </c>
      <c r="CB102" s="34">
        <v>107036.16</v>
      </c>
      <c r="CC102" s="34">
        <v>264665.40000000002</v>
      </c>
      <c r="CD102" s="34">
        <v>226363.95</v>
      </c>
      <c r="CE102" s="34">
        <v>0</v>
      </c>
      <c r="CF102" s="34">
        <v>162321.64000000001</v>
      </c>
      <c r="CJ102" s="28">
        <f t="shared" si="34"/>
        <v>5519672.040000001</v>
      </c>
      <c r="CK102" s="28">
        <v>113832</v>
      </c>
      <c r="CL102" s="28">
        <f>E102/300*CL$123</f>
        <v>118391.46666666667</v>
      </c>
      <c r="CM102" s="34">
        <f t="shared" ref="CM102:CM121" si="46">IF(E102&lt;300,0.5*CM$123,CM$123)</f>
        <v>46193.5</v>
      </c>
      <c r="CN102" s="34">
        <f t="shared" si="35"/>
        <v>0</v>
      </c>
      <c r="CU102" s="28">
        <f>VLOOKUP($A102,'Gen ed tchrs'!A98:R213,18,FALSE)*CU$123</f>
        <v>1365989.4</v>
      </c>
      <c r="CV102" s="28">
        <f>'Gen ed tchrs'!Z98*CV$123/2</f>
        <v>138875.58900000001</v>
      </c>
      <c r="DB102" s="28">
        <f t="shared" si="36"/>
        <v>1783281.9556666666</v>
      </c>
      <c r="DC102" s="28">
        <f t="shared" si="37"/>
        <v>1337952</v>
      </c>
      <c r="DD102" s="28">
        <f t="shared" ref="DD102:DD121" si="47">SUM(CC102:CF102)</f>
        <v>653350.99</v>
      </c>
      <c r="DE102" s="28">
        <f t="shared" si="38"/>
        <v>1991302.99</v>
      </c>
      <c r="DF102" s="6">
        <f t="shared" si="39"/>
        <v>208021.03433333337</v>
      </c>
      <c r="DM102" s="34"/>
      <c r="DN102" s="34"/>
    </row>
    <row r="103" spans="1:118" x14ac:dyDescent="0.2">
      <c r="A103">
        <v>319</v>
      </c>
      <c r="B103" t="s">
        <v>23</v>
      </c>
      <c r="C103" t="s">
        <v>7</v>
      </c>
      <c r="D103">
        <v>8</v>
      </c>
      <c r="E103">
        <v>317</v>
      </c>
      <c r="F103">
        <v>250</v>
      </c>
      <c r="G103">
        <v>313</v>
      </c>
      <c r="H103" s="50">
        <f t="shared" si="33"/>
        <v>-63</v>
      </c>
      <c r="I103" s="4">
        <v>0.90851735015772872</v>
      </c>
      <c r="J103">
        <v>288</v>
      </c>
      <c r="K103" s="34">
        <v>198942.26</v>
      </c>
      <c r="L103" s="34">
        <v>0</v>
      </c>
      <c r="M103" s="34">
        <v>0</v>
      </c>
      <c r="N103" s="34">
        <v>71961.03</v>
      </c>
      <c r="O103" s="34">
        <v>6646</v>
      </c>
      <c r="P103" s="34">
        <v>79024.509999999995</v>
      </c>
      <c r="Q103" s="34">
        <v>60058.83</v>
      </c>
      <c r="R103" s="34">
        <v>102374.53</v>
      </c>
      <c r="S103" s="34">
        <v>113832.45</v>
      </c>
      <c r="T103" s="34">
        <v>227664.89</v>
      </c>
      <c r="U103" s="34">
        <v>0</v>
      </c>
      <c r="V103" s="34">
        <v>341497.34</v>
      </c>
      <c r="W103" s="34">
        <v>195832.13</v>
      </c>
      <c r="X103" s="34">
        <v>120057.3</v>
      </c>
      <c r="Y103" s="34">
        <v>0</v>
      </c>
      <c r="Z103" s="34">
        <v>0</v>
      </c>
      <c r="AA103" s="34">
        <v>0</v>
      </c>
      <c r="AB103" s="34">
        <v>0</v>
      </c>
      <c r="AC103" s="34">
        <v>0</v>
      </c>
      <c r="AD103" s="34">
        <v>0</v>
      </c>
      <c r="AE103" s="34">
        <v>0</v>
      </c>
      <c r="AF103" s="34">
        <v>1493250</v>
      </c>
      <c r="AG103" s="34">
        <v>103025</v>
      </c>
      <c r="AH103" s="34">
        <v>113832.45</v>
      </c>
      <c r="AI103" s="34">
        <v>227664.89</v>
      </c>
      <c r="AJ103" s="34">
        <v>341497.34</v>
      </c>
      <c r="AK103" s="34">
        <v>455329.78</v>
      </c>
      <c r="AL103" s="34">
        <v>234998.56</v>
      </c>
      <c r="AM103" s="34">
        <v>0</v>
      </c>
      <c r="AN103" s="34">
        <v>0</v>
      </c>
      <c r="AO103" s="34">
        <v>0</v>
      </c>
      <c r="AP103" s="34">
        <v>143352</v>
      </c>
      <c r="AQ103" s="34">
        <v>0</v>
      </c>
      <c r="AR103" s="34">
        <v>0</v>
      </c>
      <c r="AS103" s="34">
        <v>10244.92</v>
      </c>
      <c r="AT103" s="34">
        <v>0</v>
      </c>
      <c r="AU103" s="34">
        <v>3583.8</v>
      </c>
      <c r="AV103" s="34">
        <v>13600</v>
      </c>
      <c r="AW103" s="34">
        <v>20400</v>
      </c>
      <c r="AX103" s="34">
        <v>0</v>
      </c>
      <c r="AY103" s="34">
        <v>0</v>
      </c>
      <c r="AZ103" s="34">
        <v>27200</v>
      </c>
      <c r="BA103" s="34">
        <v>10200</v>
      </c>
      <c r="BB103" s="34">
        <v>34000</v>
      </c>
      <c r="BC103" s="34">
        <v>171554.43</v>
      </c>
      <c r="BD103" s="34">
        <v>2763.32</v>
      </c>
      <c r="BE103" s="34">
        <v>0</v>
      </c>
      <c r="BF103" s="34">
        <v>113832.45</v>
      </c>
      <c r="BG103" s="34">
        <v>0</v>
      </c>
      <c r="BH103" s="34">
        <v>0</v>
      </c>
      <c r="BI103" s="34">
        <v>0</v>
      </c>
      <c r="BJ103" s="34">
        <v>0</v>
      </c>
      <c r="BK103" s="34">
        <v>0</v>
      </c>
      <c r="BL103" s="34">
        <v>0</v>
      </c>
      <c r="BM103" s="34">
        <v>0</v>
      </c>
      <c r="BN103" s="34">
        <v>0</v>
      </c>
      <c r="BO103" s="34">
        <v>0</v>
      </c>
      <c r="BP103" s="34">
        <v>0</v>
      </c>
      <c r="BQ103" s="34">
        <v>0</v>
      </c>
      <c r="BR103" s="34">
        <v>0</v>
      </c>
      <c r="BS103" s="34">
        <v>0</v>
      </c>
      <c r="BT103" s="34">
        <v>0</v>
      </c>
      <c r="BU103" s="34">
        <v>0</v>
      </c>
      <c r="BV103" s="34">
        <v>0</v>
      </c>
      <c r="BW103" s="34">
        <v>0</v>
      </c>
      <c r="BX103" s="34">
        <v>0</v>
      </c>
      <c r="BY103" s="34">
        <v>0</v>
      </c>
      <c r="BZ103" s="34">
        <v>0</v>
      </c>
      <c r="CA103" s="34">
        <v>772561.15</v>
      </c>
      <c r="CB103" s="34">
        <v>192569.52</v>
      </c>
      <c r="CC103" s="34">
        <v>322579.62</v>
      </c>
      <c r="CD103" s="34">
        <v>170624.55</v>
      </c>
      <c r="CE103" s="34">
        <v>0</v>
      </c>
      <c r="CF103" s="34">
        <v>125661.98</v>
      </c>
      <c r="CJ103" s="28">
        <f t="shared" si="34"/>
        <v>6622217.0300000003</v>
      </c>
      <c r="CK103" s="28">
        <v>113832</v>
      </c>
      <c r="CL103" s="28">
        <f>E103/400*CL$123</f>
        <v>125658.8</v>
      </c>
      <c r="CM103" s="34">
        <f t="shared" si="46"/>
        <v>92387</v>
      </c>
      <c r="CN103" s="34">
        <f t="shared" si="35"/>
        <v>0</v>
      </c>
      <c r="CQ103" s="28">
        <f>IF('Gen ed tchrs'!$V99&gt;37,2*113832,IF('Gen ed tchrs'!$V99&gt;25,1.5*113832,113832))</f>
        <v>113832</v>
      </c>
      <c r="CR103" s="28">
        <f>IF('Gen ed tchrs'!$V99&gt;37,2*113832,IF('Gen ed tchrs'!$V99&gt;25,1.5*113832,113832))</f>
        <v>113832</v>
      </c>
      <c r="CS103" s="28">
        <f>IF('Gen ed tchrs'!$V99&gt;39.1,3.5*113832,IF('Gen ed tchrs'!$V99&gt;33.1,3*113832,IF('Gen ed tchrs'!$V99&gt;26.1,2.5*113832,IF('Gen ed tchrs'!$V99&gt;20.1,2*113832,IF('Gen ed tchrs'!$V99&gt;13.1,1.5*113832,113832)))))</f>
        <v>170748</v>
      </c>
      <c r="CT103" s="34">
        <f>VLOOKUP($A103,'PosxSchpostCouncil 22'!$A$6:$DP$121,94,FALSE)*CT$123</f>
        <v>117499.29000000001</v>
      </c>
      <c r="CU103" s="28">
        <f>VLOOKUP($A103,'Gen ed tchrs'!A99:R214,18,FALSE)*CU$123</f>
        <v>1593654.3</v>
      </c>
      <c r="CV103" s="28">
        <f>'Gen ed tchrs'!Z99*CV$123/2</f>
        <v>23086.643765625005</v>
      </c>
      <c r="DB103" s="28">
        <f t="shared" si="36"/>
        <v>2464530.0337656252</v>
      </c>
      <c r="DC103" s="28">
        <f t="shared" si="37"/>
        <v>1493250</v>
      </c>
      <c r="DD103" s="28">
        <f t="shared" si="47"/>
        <v>618866.15</v>
      </c>
      <c r="DE103" s="28">
        <f t="shared" si="38"/>
        <v>2112116.15</v>
      </c>
      <c r="DF103" s="6">
        <f t="shared" si="39"/>
        <v>-352413.8837656253</v>
      </c>
      <c r="DM103" s="34"/>
      <c r="DN103" s="34"/>
    </row>
    <row r="104" spans="1:118" x14ac:dyDescent="0.2">
      <c r="A104">
        <v>1142</v>
      </c>
      <c r="B104" t="s">
        <v>22</v>
      </c>
      <c r="C104" t="s">
        <v>7</v>
      </c>
      <c r="D104">
        <v>2</v>
      </c>
      <c r="E104">
        <v>75</v>
      </c>
      <c r="F104">
        <v>0</v>
      </c>
      <c r="G104">
        <v>0</v>
      </c>
      <c r="H104" s="50">
        <f t="shared" si="33"/>
        <v>0</v>
      </c>
      <c r="I104" s="4">
        <v>0.21333333333333335</v>
      </c>
      <c r="J104">
        <v>16</v>
      </c>
      <c r="K104" s="34">
        <v>99471.13</v>
      </c>
      <c r="L104" s="34">
        <v>0</v>
      </c>
      <c r="M104" s="34">
        <v>0</v>
      </c>
      <c r="N104" s="34">
        <v>71961.03</v>
      </c>
      <c r="O104" s="34">
        <v>4384.6499999999996</v>
      </c>
      <c r="P104" s="34">
        <v>79024.509999999995</v>
      </c>
      <c r="Q104" s="34">
        <v>60058.83</v>
      </c>
      <c r="R104" s="34">
        <v>51187.26</v>
      </c>
      <c r="S104" s="34">
        <v>113832.45</v>
      </c>
      <c r="T104" s="34">
        <v>341497.34</v>
      </c>
      <c r="U104" s="34">
        <v>0</v>
      </c>
      <c r="V104" s="34">
        <v>227664.89</v>
      </c>
      <c r="W104" s="34">
        <v>195832.13</v>
      </c>
      <c r="X104" s="34">
        <v>134392.5</v>
      </c>
      <c r="Y104" s="34">
        <v>380778.75</v>
      </c>
      <c r="Z104" s="34">
        <v>0</v>
      </c>
      <c r="AA104" s="34">
        <v>0</v>
      </c>
      <c r="AB104" s="34">
        <v>0</v>
      </c>
      <c r="AC104" s="34">
        <v>0</v>
      </c>
      <c r="AD104" s="34">
        <v>0</v>
      </c>
      <c r="AE104" s="34">
        <v>0</v>
      </c>
      <c r="AF104" s="34">
        <v>0</v>
      </c>
      <c r="AG104" s="34">
        <v>24375</v>
      </c>
      <c r="AH104" s="34">
        <v>113832.45</v>
      </c>
      <c r="AI104" s="34">
        <v>113832.45</v>
      </c>
      <c r="AJ104" s="34">
        <v>227664.89</v>
      </c>
      <c r="AK104" s="34">
        <v>341497.34</v>
      </c>
      <c r="AL104" s="34">
        <v>234998.56</v>
      </c>
      <c r="AM104" s="34">
        <v>0</v>
      </c>
      <c r="AN104" s="34">
        <v>0</v>
      </c>
      <c r="AO104" s="34">
        <v>0</v>
      </c>
      <c r="AP104" s="34">
        <v>23294.7</v>
      </c>
      <c r="AQ104" s="34">
        <v>0</v>
      </c>
      <c r="AR104" s="34">
        <v>0</v>
      </c>
      <c r="AS104" s="34">
        <v>20489.84</v>
      </c>
      <c r="AT104" s="34">
        <v>0</v>
      </c>
      <c r="AU104" s="34">
        <v>7167.6</v>
      </c>
      <c r="AV104" s="34">
        <v>0</v>
      </c>
      <c r="AW104" s="34">
        <v>0</v>
      </c>
      <c r="AX104" s="34">
        <v>0</v>
      </c>
      <c r="AY104" s="34">
        <v>0</v>
      </c>
      <c r="AZ104" s="34">
        <v>0</v>
      </c>
      <c r="BA104" s="34">
        <v>0</v>
      </c>
      <c r="BB104" s="34">
        <v>0</v>
      </c>
      <c r="BC104" s="34">
        <v>0</v>
      </c>
      <c r="BD104" s="34">
        <v>0</v>
      </c>
      <c r="BE104" s="34">
        <v>1875</v>
      </c>
      <c r="BF104" s="34">
        <v>0</v>
      </c>
      <c r="BG104" s="34">
        <v>0</v>
      </c>
      <c r="BH104" s="34">
        <v>0</v>
      </c>
      <c r="BI104" s="34">
        <v>0</v>
      </c>
      <c r="BJ104" s="34">
        <v>0</v>
      </c>
      <c r="BK104" s="34">
        <v>0</v>
      </c>
      <c r="BL104" s="34">
        <v>0</v>
      </c>
      <c r="BM104" s="34">
        <v>0</v>
      </c>
      <c r="BN104" s="34">
        <v>0</v>
      </c>
      <c r="BO104" s="34">
        <v>0</v>
      </c>
      <c r="BP104" s="34">
        <v>0</v>
      </c>
      <c r="BQ104" s="34">
        <v>0</v>
      </c>
      <c r="BR104" s="34">
        <v>0</v>
      </c>
      <c r="BS104" s="34">
        <v>0</v>
      </c>
      <c r="BT104" s="34">
        <v>0</v>
      </c>
      <c r="BU104" s="34">
        <v>0</v>
      </c>
      <c r="BV104" s="34">
        <v>0</v>
      </c>
      <c r="BW104" s="34">
        <v>0</v>
      </c>
      <c r="BX104" s="34">
        <v>0</v>
      </c>
      <c r="BY104" s="34">
        <v>0</v>
      </c>
      <c r="BZ104" s="34">
        <v>0</v>
      </c>
      <c r="CA104" s="34">
        <v>42920.06</v>
      </c>
      <c r="CB104" s="34">
        <v>0</v>
      </c>
      <c r="CC104" s="34">
        <v>0</v>
      </c>
      <c r="CD104" s="34">
        <v>0</v>
      </c>
      <c r="CE104" s="34">
        <v>121884.98</v>
      </c>
      <c r="CF104" s="34">
        <v>0</v>
      </c>
      <c r="CJ104" s="28">
        <f t="shared" si="34"/>
        <v>3033918.3400000003</v>
      </c>
      <c r="CK104" s="28">
        <v>113832</v>
      </c>
      <c r="CM104" s="34">
        <f t="shared" si="46"/>
        <v>46193.5</v>
      </c>
      <c r="CN104" s="34">
        <f t="shared" si="35"/>
        <v>0</v>
      </c>
      <c r="CQ104" s="28">
        <f>IF('Gen ed tchrs'!$V100&gt;37,2*113832,IF('Gen ed tchrs'!$V100&gt;25,1.5*113832,113832))</f>
        <v>113832</v>
      </c>
      <c r="CR104" s="28">
        <f>IF('Gen ed tchrs'!$V100&gt;37,2*113832,IF('Gen ed tchrs'!$V100&gt;25,1.5*113832,113832))</f>
        <v>113832</v>
      </c>
      <c r="CS104" s="28">
        <f>IF('Gen ed tchrs'!$V100&gt;39.1,3.5*113832,IF('Gen ed tchrs'!$V100&gt;33.1,3*113832,IF('Gen ed tchrs'!$V100&gt;26.1,2.5*113832,IF('Gen ed tchrs'!$V100&gt;20.1,2*113832,IF('Gen ed tchrs'!$V100&gt;13.1,1.5*113832,113832)))))</f>
        <v>113832</v>
      </c>
      <c r="CT104" s="34">
        <f>VLOOKUP($A104,'PosxSchpostCouncil 22'!$A$6:$DP$121,94,FALSE)*CT$123</f>
        <v>0</v>
      </c>
      <c r="CU104" s="59" t="s">
        <v>34</v>
      </c>
      <c r="CV104" s="28">
        <f>'Gen ed tchrs'!Z100*CV$123/2</f>
        <v>-56916.224999999999</v>
      </c>
      <c r="DB104" s="28">
        <f t="shared" si="36"/>
        <v>444605.27500000002</v>
      </c>
      <c r="DC104" s="28">
        <f t="shared" si="37"/>
        <v>0</v>
      </c>
      <c r="DD104" s="28">
        <f t="shared" si="47"/>
        <v>121884.98</v>
      </c>
      <c r="DE104" s="28">
        <f t="shared" si="38"/>
        <v>121884.98</v>
      </c>
      <c r="DF104" s="6">
        <f t="shared" si="39"/>
        <v>-322720.29500000004</v>
      </c>
      <c r="DM104" s="34"/>
      <c r="DN104" s="34"/>
    </row>
    <row r="105" spans="1:118" x14ac:dyDescent="0.2">
      <c r="A105">
        <v>321</v>
      </c>
      <c r="B105" t="s">
        <v>21</v>
      </c>
      <c r="C105" t="s">
        <v>7</v>
      </c>
      <c r="D105">
        <v>3</v>
      </c>
      <c r="E105">
        <v>457</v>
      </c>
      <c r="F105">
        <v>438</v>
      </c>
      <c r="G105">
        <v>434</v>
      </c>
      <c r="H105" s="50">
        <f t="shared" si="33"/>
        <v>4</v>
      </c>
      <c r="I105" s="4">
        <v>7.4398249452954049E-2</v>
      </c>
      <c r="J105">
        <v>34</v>
      </c>
      <c r="K105" s="34">
        <v>198942.26</v>
      </c>
      <c r="L105" s="34">
        <v>0</v>
      </c>
      <c r="M105" s="34">
        <v>0</v>
      </c>
      <c r="N105" s="34">
        <v>71961.03</v>
      </c>
      <c r="O105" s="34">
        <v>6787.25</v>
      </c>
      <c r="P105" s="34">
        <v>79024.509999999995</v>
      </c>
      <c r="Q105" s="34">
        <v>60058.83</v>
      </c>
      <c r="R105" s="34">
        <v>102374.53</v>
      </c>
      <c r="S105" s="34">
        <v>113832.45</v>
      </c>
      <c r="T105" s="34">
        <v>0</v>
      </c>
      <c r="U105" s="34">
        <v>0</v>
      </c>
      <c r="V105" s="34">
        <v>113832.45</v>
      </c>
      <c r="W105" s="34">
        <v>39166.43</v>
      </c>
      <c r="X105" s="34">
        <v>34046.1</v>
      </c>
      <c r="Y105" s="34">
        <v>0</v>
      </c>
      <c r="Z105" s="34">
        <v>0</v>
      </c>
      <c r="AA105" s="34">
        <v>0</v>
      </c>
      <c r="AB105" s="34">
        <v>0</v>
      </c>
      <c r="AC105" s="34">
        <v>0</v>
      </c>
      <c r="AD105" s="34">
        <v>0</v>
      </c>
      <c r="AE105" s="34">
        <v>0</v>
      </c>
      <c r="AF105" s="34">
        <v>2616174</v>
      </c>
      <c r="AG105" s="34">
        <v>148525</v>
      </c>
      <c r="AH105" s="34">
        <v>113832.45</v>
      </c>
      <c r="AI105" s="34">
        <v>113832.45</v>
      </c>
      <c r="AJ105" s="34">
        <v>341497.34</v>
      </c>
      <c r="AK105" s="34">
        <v>0</v>
      </c>
      <c r="AL105" s="34">
        <v>0</v>
      </c>
      <c r="AM105" s="34">
        <v>0</v>
      </c>
      <c r="AN105" s="34">
        <v>0</v>
      </c>
      <c r="AO105" s="34">
        <v>0</v>
      </c>
      <c r="AP105" s="34">
        <v>41213.699999999997</v>
      </c>
      <c r="AQ105" s="34">
        <v>0</v>
      </c>
      <c r="AR105" s="34">
        <v>455329.78</v>
      </c>
      <c r="AS105" s="34">
        <v>0</v>
      </c>
      <c r="AT105" s="34">
        <v>0</v>
      </c>
      <c r="AU105" s="34">
        <v>150519.6</v>
      </c>
      <c r="AV105" s="34">
        <v>0</v>
      </c>
      <c r="AW105" s="34">
        <v>0</v>
      </c>
      <c r="AX105" s="34">
        <v>0</v>
      </c>
      <c r="AY105" s="34">
        <v>0</v>
      </c>
      <c r="AZ105" s="34">
        <v>0</v>
      </c>
      <c r="BA105" s="34">
        <v>0</v>
      </c>
      <c r="BB105" s="34">
        <v>0</v>
      </c>
      <c r="BC105" s="34">
        <v>0</v>
      </c>
      <c r="BD105" s="34">
        <v>0</v>
      </c>
      <c r="BE105" s="34">
        <v>11425</v>
      </c>
      <c r="BF105" s="34">
        <v>0</v>
      </c>
      <c r="BG105" s="34">
        <v>0</v>
      </c>
      <c r="BH105" s="34">
        <v>0</v>
      </c>
      <c r="BI105" s="34">
        <v>0</v>
      </c>
      <c r="BJ105" s="34">
        <v>0</v>
      </c>
      <c r="BK105" s="34">
        <v>0</v>
      </c>
      <c r="BL105" s="34">
        <v>0</v>
      </c>
      <c r="BM105" s="34">
        <v>0</v>
      </c>
      <c r="BN105" s="34">
        <v>0</v>
      </c>
      <c r="BO105" s="34">
        <v>0</v>
      </c>
      <c r="BP105" s="34">
        <v>0</v>
      </c>
      <c r="BQ105" s="34">
        <v>0</v>
      </c>
      <c r="BR105" s="34">
        <v>0</v>
      </c>
      <c r="BS105" s="34">
        <v>0</v>
      </c>
      <c r="BT105" s="34">
        <v>0</v>
      </c>
      <c r="BU105" s="34">
        <v>0</v>
      </c>
      <c r="BV105" s="34">
        <v>0</v>
      </c>
      <c r="BW105" s="34">
        <v>0</v>
      </c>
      <c r="BX105" s="34">
        <v>0</v>
      </c>
      <c r="BY105" s="34">
        <v>0</v>
      </c>
      <c r="BZ105" s="34">
        <v>0</v>
      </c>
      <c r="CA105" s="34">
        <v>91205.14</v>
      </c>
      <c r="CB105" s="34">
        <v>0</v>
      </c>
      <c r="CC105" s="34">
        <v>292820.32</v>
      </c>
      <c r="CD105" s="34">
        <v>108405.24</v>
      </c>
      <c r="CE105" s="34">
        <v>272962.71999999997</v>
      </c>
      <c r="CF105" s="34">
        <v>387043.16</v>
      </c>
      <c r="CJ105" s="28">
        <f t="shared" si="34"/>
        <v>5964811.7400000002</v>
      </c>
      <c r="CK105" s="28">
        <v>113832</v>
      </c>
      <c r="CL105" s="28">
        <f>E105/400*CL$123</f>
        <v>181154.80000000002</v>
      </c>
      <c r="CM105" s="34">
        <f t="shared" si="46"/>
        <v>92387</v>
      </c>
      <c r="CN105" s="34">
        <f t="shared" si="35"/>
        <v>46939.16849015317</v>
      </c>
      <c r="CQ105" s="28">
        <f>IF('Gen ed tchrs'!$V101&gt;37,2*113832,IF('Gen ed tchrs'!$V101&gt;25,1.5*113832,113832))</f>
        <v>113832</v>
      </c>
      <c r="CR105" s="28">
        <f>IF('Gen ed tchrs'!$V101&gt;37,2*113832,IF('Gen ed tchrs'!$V101&gt;25,1.5*113832,113832))</f>
        <v>113832</v>
      </c>
      <c r="CS105" s="28">
        <f>IF('Gen ed tchrs'!$V101&gt;39.1,3.5*113832,IF('Gen ed tchrs'!$V101&gt;33.1,3*113832,IF('Gen ed tchrs'!$V101&gt;26.1,2.5*113832,IF('Gen ed tchrs'!$V101&gt;20.1,2*113832,IF('Gen ed tchrs'!$V101&gt;13.1,1.5*113832,113832)))))</f>
        <v>227664</v>
      </c>
      <c r="CT105" s="34">
        <f>VLOOKUP($A105,'PosxSchpostCouncil 22'!$A$6:$DP$121,94,FALSE)*CT$123</f>
        <v>156665.72</v>
      </c>
      <c r="CU105" s="28">
        <f>VLOOKUP($A105,'Gen ed tchrs'!A101:R216,18,FALSE)*CU$123</f>
        <v>2504313.9</v>
      </c>
      <c r="CV105" s="28">
        <f>'Gen ed tchrs'!Z101*CV$123/2</f>
        <v>65062.359703124996</v>
      </c>
      <c r="DB105" s="28">
        <f t="shared" si="36"/>
        <v>3615682.9481932782</v>
      </c>
      <c r="DC105" s="28">
        <f t="shared" si="37"/>
        <v>2616174</v>
      </c>
      <c r="DD105" s="28">
        <f t="shared" si="47"/>
        <v>1061231.44</v>
      </c>
      <c r="DE105" s="28">
        <f t="shared" si="38"/>
        <v>3677405.44</v>
      </c>
      <c r="DF105" s="6">
        <f t="shared" si="39"/>
        <v>61722.49180672178</v>
      </c>
      <c r="DM105" s="34"/>
      <c r="DN105" s="34"/>
    </row>
    <row r="106" spans="1:118" x14ac:dyDescent="0.2">
      <c r="A106">
        <v>428</v>
      </c>
      <c r="B106" t="s">
        <v>20</v>
      </c>
      <c r="C106" t="s">
        <v>19</v>
      </c>
      <c r="D106">
        <v>6</v>
      </c>
      <c r="E106">
        <v>507</v>
      </c>
      <c r="F106">
        <v>507</v>
      </c>
      <c r="G106">
        <v>507</v>
      </c>
      <c r="H106" s="50">
        <f t="shared" si="33"/>
        <v>0</v>
      </c>
      <c r="I106" s="4">
        <v>0.34516765285996054</v>
      </c>
      <c r="J106">
        <v>175</v>
      </c>
      <c r="K106" s="34">
        <v>198942.26</v>
      </c>
      <c r="L106" s="34">
        <v>170748.67</v>
      </c>
      <c r="M106" s="34">
        <v>0</v>
      </c>
      <c r="N106" s="34">
        <v>71961.03</v>
      </c>
      <c r="O106" s="34">
        <v>8905.7999999999993</v>
      </c>
      <c r="P106" s="34">
        <v>79024.509999999995</v>
      </c>
      <c r="Q106" s="34">
        <v>60058.83</v>
      </c>
      <c r="R106" s="34">
        <v>204749.06</v>
      </c>
      <c r="S106" s="34">
        <v>113832.45</v>
      </c>
      <c r="T106" s="34">
        <v>0</v>
      </c>
      <c r="U106" s="34">
        <v>0</v>
      </c>
      <c r="V106" s="34">
        <v>0</v>
      </c>
      <c r="W106" s="34">
        <v>0</v>
      </c>
      <c r="X106" s="34">
        <v>0</v>
      </c>
      <c r="Y106" s="34">
        <v>0</v>
      </c>
      <c r="Z106" s="34">
        <v>0</v>
      </c>
      <c r="AA106" s="34">
        <v>0</v>
      </c>
      <c r="AB106" s="34">
        <v>0</v>
      </c>
      <c r="AC106" s="34">
        <v>0</v>
      </c>
      <c r="AD106" s="34">
        <v>0</v>
      </c>
      <c r="AE106" s="34">
        <v>0</v>
      </c>
      <c r="AF106" s="34">
        <v>3028311</v>
      </c>
      <c r="AG106" s="34">
        <v>173394</v>
      </c>
      <c r="AH106" s="34">
        <v>113832.45</v>
      </c>
      <c r="AI106" s="34">
        <v>227664.89</v>
      </c>
      <c r="AJ106" s="34">
        <v>796827.12</v>
      </c>
      <c r="AK106" s="34">
        <v>227664.89</v>
      </c>
      <c r="AL106" s="34">
        <v>117499.28</v>
      </c>
      <c r="AM106" s="34">
        <v>0</v>
      </c>
      <c r="AN106" s="34">
        <v>0</v>
      </c>
      <c r="AO106" s="34">
        <v>0</v>
      </c>
      <c r="AP106" s="34">
        <v>146935.79999999999</v>
      </c>
      <c r="AQ106" s="34">
        <v>0</v>
      </c>
      <c r="AR106" s="34">
        <v>0</v>
      </c>
      <c r="AS106" s="34">
        <v>26181.46</v>
      </c>
      <c r="AT106" s="34">
        <v>0</v>
      </c>
      <c r="AU106" s="34">
        <v>8959.5</v>
      </c>
      <c r="AV106" s="34">
        <v>0</v>
      </c>
      <c r="AW106" s="34">
        <v>0</v>
      </c>
      <c r="AX106" s="34">
        <v>0</v>
      </c>
      <c r="AY106" s="34">
        <v>0</v>
      </c>
      <c r="AZ106" s="34">
        <v>0</v>
      </c>
      <c r="BA106" s="34">
        <v>0</v>
      </c>
      <c r="BB106" s="34">
        <v>0</v>
      </c>
      <c r="BC106" s="34">
        <v>141140.04999999999</v>
      </c>
      <c r="BD106" s="34">
        <v>2273.42</v>
      </c>
      <c r="BE106" s="34">
        <v>0</v>
      </c>
      <c r="BF106" s="34">
        <v>0</v>
      </c>
      <c r="BG106" s="34">
        <v>0</v>
      </c>
      <c r="BH106" s="34">
        <v>0</v>
      </c>
      <c r="BI106" s="34">
        <v>0</v>
      </c>
      <c r="BJ106" s="34">
        <v>0</v>
      </c>
      <c r="BK106" s="34">
        <v>0</v>
      </c>
      <c r="BL106" s="34">
        <v>0</v>
      </c>
      <c r="BM106" s="34">
        <v>0</v>
      </c>
      <c r="BN106" s="34">
        <v>0</v>
      </c>
      <c r="BO106" s="34">
        <v>0</v>
      </c>
      <c r="BP106" s="34">
        <v>0</v>
      </c>
      <c r="BQ106" s="34">
        <v>0</v>
      </c>
      <c r="BR106" s="34">
        <v>0</v>
      </c>
      <c r="BS106" s="34">
        <v>0</v>
      </c>
      <c r="BT106" s="34">
        <v>0</v>
      </c>
      <c r="BU106" s="34">
        <v>0</v>
      </c>
      <c r="BV106" s="34">
        <v>0</v>
      </c>
      <c r="BW106" s="34">
        <v>55921</v>
      </c>
      <c r="BX106" s="34">
        <v>0</v>
      </c>
      <c r="BY106" s="34">
        <v>0</v>
      </c>
      <c r="BZ106" s="34">
        <v>0</v>
      </c>
      <c r="CA106" s="34">
        <v>469438.2</v>
      </c>
      <c r="CB106" s="34">
        <v>0</v>
      </c>
      <c r="CC106" s="34">
        <v>146665.41</v>
      </c>
      <c r="CD106" s="34">
        <v>17408.14</v>
      </c>
      <c r="CE106" s="34">
        <v>0</v>
      </c>
      <c r="CF106" s="34">
        <v>0</v>
      </c>
      <c r="CJ106" s="28">
        <f t="shared" si="34"/>
        <v>6608339.2199999988</v>
      </c>
      <c r="CK106" s="28">
        <v>113832</v>
      </c>
      <c r="CL106" s="28">
        <f>E106/300*CL$123</f>
        <v>267966.39999999997</v>
      </c>
      <c r="CM106" s="34">
        <f t="shared" si="46"/>
        <v>92387</v>
      </c>
      <c r="CN106" s="34">
        <f t="shared" si="35"/>
        <v>42310.059171597633</v>
      </c>
      <c r="CU106" s="28">
        <f>VLOOKUP($A106,'Gen ed tchrs'!A102:R217,18,FALSE)*CU$123</f>
        <v>3073476.15</v>
      </c>
      <c r="CV106" s="28">
        <f>'Gen ed tchrs'!Z102*CV$123/2</f>
        <v>98607.359812499999</v>
      </c>
      <c r="DB106" s="28">
        <f t="shared" si="36"/>
        <v>3688578.9689840972</v>
      </c>
      <c r="DC106" s="28">
        <f t="shared" si="37"/>
        <v>3028311</v>
      </c>
      <c r="DD106" s="28">
        <f t="shared" si="47"/>
        <v>164073.54999999999</v>
      </c>
      <c r="DE106" s="28">
        <f t="shared" si="38"/>
        <v>3192384.55</v>
      </c>
      <c r="DF106" s="6">
        <f t="shared" si="39"/>
        <v>-496194.41898409743</v>
      </c>
      <c r="DM106" s="34"/>
      <c r="DN106" s="34"/>
    </row>
    <row r="107" spans="1:118" x14ac:dyDescent="0.2">
      <c r="A107">
        <v>324</v>
      </c>
      <c r="B107" t="s">
        <v>18</v>
      </c>
      <c r="C107" t="s">
        <v>7</v>
      </c>
      <c r="D107">
        <v>4</v>
      </c>
      <c r="E107">
        <v>413</v>
      </c>
      <c r="F107">
        <v>316</v>
      </c>
      <c r="G107">
        <v>327</v>
      </c>
      <c r="H107" s="50">
        <f t="shared" si="33"/>
        <v>-11</v>
      </c>
      <c r="I107" s="4">
        <v>0.41404358353510895</v>
      </c>
      <c r="J107">
        <v>171</v>
      </c>
      <c r="K107" s="34">
        <v>198942.26</v>
      </c>
      <c r="L107" s="34">
        <v>0</v>
      </c>
      <c r="M107" s="34">
        <v>0</v>
      </c>
      <c r="N107" s="34">
        <v>71961.03</v>
      </c>
      <c r="O107" s="34">
        <v>8480.75</v>
      </c>
      <c r="P107" s="34">
        <v>79024.509999999995</v>
      </c>
      <c r="Q107" s="34">
        <v>60058.83</v>
      </c>
      <c r="R107" s="34">
        <v>153561.79</v>
      </c>
      <c r="S107" s="34">
        <v>113832.45</v>
      </c>
      <c r="T107" s="34">
        <v>227664.89</v>
      </c>
      <c r="U107" s="34">
        <v>227664.89</v>
      </c>
      <c r="V107" s="34">
        <v>227664.89</v>
      </c>
      <c r="W107" s="34">
        <v>234998.56</v>
      </c>
      <c r="X107" s="34">
        <v>173814.3</v>
      </c>
      <c r="Y107" s="34">
        <v>0</v>
      </c>
      <c r="Z107" s="34">
        <v>0</v>
      </c>
      <c r="AA107" s="34">
        <v>0</v>
      </c>
      <c r="AB107" s="34">
        <v>0</v>
      </c>
      <c r="AC107" s="34">
        <v>0</v>
      </c>
      <c r="AD107" s="34">
        <v>0</v>
      </c>
      <c r="AE107" s="34">
        <v>0</v>
      </c>
      <c r="AF107" s="34">
        <v>1887468</v>
      </c>
      <c r="AG107" s="34">
        <v>134225</v>
      </c>
      <c r="AH107" s="34">
        <v>113832.45</v>
      </c>
      <c r="AI107" s="34">
        <v>227664.89</v>
      </c>
      <c r="AJ107" s="34">
        <v>341497.34</v>
      </c>
      <c r="AK107" s="34">
        <v>455329.78</v>
      </c>
      <c r="AL107" s="34">
        <v>313331.40999999997</v>
      </c>
      <c r="AM107" s="34">
        <v>0</v>
      </c>
      <c r="AN107" s="34">
        <v>0</v>
      </c>
      <c r="AO107" s="34">
        <v>119483.41</v>
      </c>
      <c r="AP107" s="34">
        <v>132600.6</v>
      </c>
      <c r="AQ107" s="34">
        <v>0</v>
      </c>
      <c r="AR107" s="34">
        <v>853743.35</v>
      </c>
      <c r="AS107" s="34">
        <v>0</v>
      </c>
      <c r="AT107" s="34">
        <v>39166.43</v>
      </c>
      <c r="AU107" s="34">
        <v>292079.7</v>
      </c>
      <c r="AV107" s="34">
        <v>20400</v>
      </c>
      <c r="AW107" s="34">
        <v>20400</v>
      </c>
      <c r="AX107" s="34">
        <v>10200</v>
      </c>
      <c r="AY107" s="34">
        <v>0</v>
      </c>
      <c r="AZ107" s="34">
        <v>54400</v>
      </c>
      <c r="BA107" s="34">
        <v>0</v>
      </c>
      <c r="BB107" s="34">
        <v>54400</v>
      </c>
      <c r="BC107" s="34">
        <v>129883.48</v>
      </c>
      <c r="BD107" s="34">
        <v>2092.1</v>
      </c>
      <c r="BE107" s="34">
        <v>0</v>
      </c>
      <c r="BF107" s="34">
        <v>0</v>
      </c>
      <c r="BG107" s="34">
        <v>0</v>
      </c>
      <c r="BH107" s="34">
        <v>0</v>
      </c>
      <c r="BI107" s="34">
        <v>0</v>
      </c>
      <c r="BJ107" s="34">
        <v>0</v>
      </c>
      <c r="BK107" s="34">
        <v>0</v>
      </c>
      <c r="BL107" s="34">
        <v>0</v>
      </c>
      <c r="BM107" s="34">
        <v>0</v>
      </c>
      <c r="BN107" s="34">
        <v>0</v>
      </c>
      <c r="BO107" s="34">
        <v>0</v>
      </c>
      <c r="BP107" s="34">
        <v>0</v>
      </c>
      <c r="BQ107" s="34">
        <v>0</v>
      </c>
      <c r="BR107" s="34">
        <v>0</v>
      </c>
      <c r="BS107" s="34">
        <v>0</v>
      </c>
      <c r="BT107" s="34">
        <v>0</v>
      </c>
      <c r="BU107" s="34">
        <v>0</v>
      </c>
      <c r="BV107" s="34">
        <v>0</v>
      </c>
      <c r="BW107" s="34">
        <v>0</v>
      </c>
      <c r="BX107" s="34">
        <v>0</v>
      </c>
      <c r="BY107" s="34">
        <v>0</v>
      </c>
      <c r="BZ107" s="34">
        <v>0</v>
      </c>
      <c r="CA107" s="34">
        <v>458708.18</v>
      </c>
      <c r="CB107" s="34">
        <v>6928.68</v>
      </c>
      <c r="CC107" s="34">
        <v>419652.32</v>
      </c>
      <c r="CD107" s="34">
        <v>0</v>
      </c>
      <c r="CE107" s="34">
        <v>52862.61</v>
      </c>
      <c r="CF107" s="34">
        <v>475027.59</v>
      </c>
      <c r="CJ107" s="28">
        <f t="shared" si="34"/>
        <v>8393046.4700000007</v>
      </c>
      <c r="CK107" s="28">
        <v>113832</v>
      </c>
      <c r="CL107" s="28">
        <f>E107/400*CL$123</f>
        <v>163713.19999999998</v>
      </c>
      <c r="CM107" s="34">
        <f t="shared" si="46"/>
        <v>92387</v>
      </c>
      <c r="CN107" s="34">
        <f t="shared" si="35"/>
        <v>51939.951573849881</v>
      </c>
      <c r="CQ107" s="28">
        <f>IF('Gen ed tchrs'!$V103&gt;37,2*113832,IF('Gen ed tchrs'!$V103&gt;25,1.5*113832,113832))</f>
        <v>113832</v>
      </c>
      <c r="CR107" s="28">
        <f>IF('Gen ed tchrs'!$V103&gt;37,2*113832,IF('Gen ed tchrs'!$V103&gt;25,1.5*113832,113832))</f>
        <v>113832</v>
      </c>
      <c r="CS107" s="28">
        <f>IF('Gen ed tchrs'!$V103&gt;39.1,3.5*113832,IF('Gen ed tchrs'!$V103&gt;33.1,3*113832,IF('Gen ed tchrs'!$V103&gt;26.1,2.5*113832,IF('Gen ed tchrs'!$V103&gt;20.1,2*113832,IF('Gen ed tchrs'!$V103&gt;13.1,1.5*113832,113832)))))</f>
        <v>227664</v>
      </c>
      <c r="CT107" s="34">
        <f>VLOOKUP($A107,'PosxSchpostCouncil 22'!$A$6:$DP$121,94,FALSE)*CT$123</f>
        <v>117499.29000000001</v>
      </c>
      <c r="CU107" s="28">
        <f>VLOOKUP($A107,'Gen ed tchrs'!A103:R218,18,FALSE)*CU$123</f>
        <v>1935151.65</v>
      </c>
      <c r="CV107" s="28">
        <f>'Gen ed tchrs'!Z103*CV$123/2</f>
        <v>69757.948265624989</v>
      </c>
      <c r="DB107" s="28">
        <f t="shared" si="36"/>
        <v>2999609.0398394749</v>
      </c>
      <c r="DC107" s="28">
        <f t="shared" si="37"/>
        <v>1887468</v>
      </c>
      <c r="DD107" s="28">
        <f t="shared" si="47"/>
        <v>947542.52</v>
      </c>
      <c r="DE107" s="28">
        <f t="shared" si="38"/>
        <v>2835010.52</v>
      </c>
      <c r="DF107" s="6">
        <f t="shared" si="39"/>
        <v>-164598.51983947493</v>
      </c>
      <c r="DM107" s="34"/>
      <c r="DN107" s="34"/>
    </row>
    <row r="108" spans="1:118" x14ac:dyDescent="0.2">
      <c r="A108">
        <v>325</v>
      </c>
      <c r="B108" t="s">
        <v>17</v>
      </c>
      <c r="C108" t="s">
        <v>7</v>
      </c>
      <c r="D108">
        <v>7</v>
      </c>
      <c r="E108">
        <v>287</v>
      </c>
      <c r="F108">
        <v>208</v>
      </c>
      <c r="G108">
        <v>239</v>
      </c>
      <c r="H108" s="50">
        <f t="shared" si="33"/>
        <v>-31</v>
      </c>
      <c r="I108" s="4">
        <v>0.80487804878048785</v>
      </c>
      <c r="J108">
        <v>231</v>
      </c>
      <c r="K108" s="34">
        <v>198942.26</v>
      </c>
      <c r="L108" s="34">
        <v>0</v>
      </c>
      <c r="M108" s="34">
        <v>0</v>
      </c>
      <c r="N108" s="34">
        <v>71961.03</v>
      </c>
      <c r="O108" s="34">
        <v>6530.65</v>
      </c>
      <c r="P108" s="34">
        <v>79024.509999999995</v>
      </c>
      <c r="Q108" s="34">
        <v>60058.83</v>
      </c>
      <c r="R108" s="34">
        <v>51187.26</v>
      </c>
      <c r="S108" s="34">
        <v>113832.45</v>
      </c>
      <c r="T108" s="34">
        <v>227664.89</v>
      </c>
      <c r="U108" s="34">
        <v>227664.89</v>
      </c>
      <c r="V108" s="34">
        <v>113832.45</v>
      </c>
      <c r="W108" s="34">
        <v>195832.13</v>
      </c>
      <c r="X108" s="34">
        <v>141560.1</v>
      </c>
      <c r="Y108" s="34">
        <v>0</v>
      </c>
      <c r="Z108" s="34">
        <v>0</v>
      </c>
      <c r="AA108" s="34">
        <v>0</v>
      </c>
      <c r="AB108" s="34">
        <v>0</v>
      </c>
      <c r="AC108" s="34">
        <v>0</v>
      </c>
      <c r="AD108" s="34">
        <v>0</v>
      </c>
      <c r="AE108" s="34">
        <v>0</v>
      </c>
      <c r="AF108" s="34">
        <v>1242384</v>
      </c>
      <c r="AG108" s="34">
        <v>93275</v>
      </c>
      <c r="AH108" s="34">
        <v>113832.45</v>
      </c>
      <c r="AI108" s="34">
        <v>113832.45</v>
      </c>
      <c r="AJ108" s="34">
        <v>341497.34</v>
      </c>
      <c r="AK108" s="34">
        <v>341497.34</v>
      </c>
      <c r="AL108" s="34">
        <v>195832.13</v>
      </c>
      <c r="AM108" s="34">
        <v>0</v>
      </c>
      <c r="AN108" s="34">
        <v>0</v>
      </c>
      <c r="AO108" s="34">
        <v>0</v>
      </c>
      <c r="AP108" s="34">
        <v>91386.9</v>
      </c>
      <c r="AQ108" s="34">
        <v>0</v>
      </c>
      <c r="AR108" s="34">
        <v>0</v>
      </c>
      <c r="AS108" s="34">
        <v>10244.92</v>
      </c>
      <c r="AT108" s="34">
        <v>0</v>
      </c>
      <c r="AU108" s="34">
        <v>3583.8</v>
      </c>
      <c r="AV108" s="34">
        <v>20400</v>
      </c>
      <c r="AW108" s="34">
        <v>20400</v>
      </c>
      <c r="AX108" s="34">
        <v>0</v>
      </c>
      <c r="AY108" s="34">
        <v>0</v>
      </c>
      <c r="AZ108" s="34">
        <v>13600</v>
      </c>
      <c r="BA108" s="34">
        <v>10200</v>
      </c>
      <c r="BB108" s="34">
        <v>13600</v>
      </c>
      <c r="BC108" s="34">
        <v>155319</v>
      </c>
      <c r="BD108" s="34">
        <v>2501.81</v>
      </c>
      <c r="BE108" s="34">
        <v>0</v>
      </c>
      <c r="BF108" s="34">
        <v>113832.45</v>
      </c>
      <c r="BG108" s="34">
        <v>0</v>
      </c>
      <c r="BH108" s="34">
        <v>0</v>
      </c>
      <c r="BI108" s="34">
        <v>0</v>
      </c>
      <c r="BJ108" s="34">
        <v>0</v>
      </c>
      <c r="BK108" s="34">
        <v>0</v>
      </c>
      <c r="BL108" s="34">
        <v>0</v>
      </c>
      <c r="BM108" s="34">
        <v>0</v>
      </c>
      <c r="BN108" s="34">
        <v>0</v>
      </c>
      <c r="BO108" s="34">
        <v>0</v>
      </c>
      <c r="BP108" s="34">
        <v>0</v>
      </c>
      <c r="BQ108" s="34">
        <v>0</v>
      </c>
      <c r="BR108" s="34">
        <v>0</v>
      </c>
      <c r="BS108" s="34">
        <v>0</v>
      </c>
      <c r="BT108" s="34">
        <v>0</v>
      </c>
      <c r="BU108" s="34">
        <v>15325</v>
      </c>
      <c r="BV108" s="34">
        <v>0</v>
      </c>
      <c r="BW108" s="34">
        <v>0</v>
      </c>
      <c r="BX108" s="34">
        <v>0</v>
      </c>
      <c r="BY108" s="34">
        <v>0</v>
      </c>
      <c r="BZ108" s="34">
        <v>0</v>
      </c>
      <c r="CA108" s="34">
        <v>619658.42000000004</v>
      </c>
      <c r="CB108" s="34">
        <v>138812.51999999999</v>
      </c>
      <c r="CC108" s="34">
        <v>47258.97</v>
      </c>
      <c r="CD108" s="34">
        <v>24216.240000000002</v>
      </c>
      <c r="CE108" s="34">
        <v>143388.29</v>
      </c>
      <c r="CF108" s="34">
        <v>0</v>
      </c>
      <c r="CJ108" s="28">
        <f t="shared" si="34"/>
        <v>5373970.4799999986</v>
      </c>
      <c r="CK108" s="28">
        <v>113832</v>
      </c>
      <c r="CM108" s="34">
        <f t="shared" si="46"/>
        <v>46193.5</v>
      </c>
      <c r="CN108" s="34">
        <f t="shared" si="35"/>
        <v>0</v>
      </c>
      <c r="CQ108" s="28">
        <f>IF('Gen ed tchrs'!$V104&gt;37,2*113832,IF('Gen ed tchrs'!$V104&gt;25,1.5*113832,113832))</f>
        <v>113832</v>
      </c>
      <c r="CR108" s="28">
        <f>IF('Gen ed tchrs'!$V104&gt;37,2*113832,IF('Gen ed tchrs'!$V104&gt;25,1.5*113832,113832))</f>
        <v>113832</v>
      </c>
      <c r="CS108" s="28">
        <f>IF('Gen ed tchrs'!$V104&gt;39.1,3.5*113832,IF('Gen ed tchrs'!$V104&gt;33.1,3*113832,IF('Gen ed tchrs'!$V104&gt;26.1,2.5*113832,IF('Gen ed tchrs'!$V104&gt;20.1,2*113832,IF('Gen ed tchrs'!$V104&gt;13.1,1.5*113832,113832)))))</f>
        <v>170748</v>
      </c>
      <c r="CT108" s="34">
        <f>VLOOKUP($A108,'PosxSchpostCouncil 22'!$A$6:$DP$121,94,FALSE)*CT$123</f>
        <v>117499.29000000001</v>
      </c>
      <c r="CU108" s="28">
        <f>VLOOKUP($A108,'Gen ed tchrs'!A104:R219,18,FALSE)*CU$123</f>
        <v>1479821.8499999999</v>
      </c>
      <c r="CV108" s="28">
        <f>'Gen ed tchrs'!Z104*CV$123/2</f>
        <v>56916.224999999999</v>
      </c>
      <c r="DB108" s="28">
        <f t="shared" si="36"/>
        <v>2212674.8649999998</v>
      </c>
      <c r="DC108" s="28">
        <f t="shared" si="37"/>
        <v>1242384</v>
      </c>
      <c r="DD108" s="28">
        <f t="shared" si="47"/>
        <v>214863.5</v>
      </c>
      <c r="DE108" s="28">
        <f t="shared" si="38"/>
        <v>1457247.5</v>
      </c>
      <c r="DF108" s="6">
        <f t="shared" si="39"/>
        <v>-755427.36499999976</v>
      </c>
      <c r="DM108" s="34"/>
      <c r="DN108" s="34"/>
    </row>
    <row r="109" spans="1:118" x14ac:dyDescent="0.2">
      <c r="A109">
        <v>326</v>
      </c>
      <c r="B109" t="s">
        <v>16</v>
      </c>
      <c r="C109" t="s">
        <v>7</v>
      </c>
      <c r="D109">
        <v>2</v>
      </c>
      <c r="E109">
        <v>281</v>
      </c>
      <c r="F109">
        <v>204</v>
      </c>
      <c r="G109">
        <v>220</v>
      </c>
      <c r="H109" s="50">
        <f t="shared" si="33"/>
        <v>-16</v>
      </c>
      <c r="I109" s="4">
        <v>0.41281138790035588</v>
      </c>
      <c r="J109">
        <v>116</v>
      </c>
      <c r="K109" s="34">
        <v>198942.26</v>
      </c>
      <c r="L109" s="34">
        <v>0</v>
      </c>
      <c r="M109" s="34">
        <v>0</v>
      </c>
      <c r="N109" s="34">
        <v>71961.03</v>
      </c>
      <c r="O109" s="34">
        <v>8156.65</v>
      </c>
      <c r="P109" s="34">
        <v>79024.509999999995</v>
      </c>
      <c r="Q109" s="34">
        <v>60058.83</v>
      </c>
      <c r="R109" s="34">
        <v>102374.53</v>
      </c>
      <c r="S109" s="34">
        <v>113832.45</v>
      </c>
      <c r="T109" s="34">
        <v>0</v>
      </c>
      <c r="U109" s="34">
        <v>569162.23</v>
      </c>
      <c r="V109" s="34">
        <v>0</v>
      </c>
      <c r="W109" s="34">
        <v>195832.13</v>
      </c>
      <c r="X109" s="34">
        <v>137976.29999999999</v>
      </c>
      <c r="Y109" s="34">
        <v>0</v>
      </c>
      <c r="Z109" s="34">
        <v>0</v>
      </c>
      <c r="AA109" s="34">
        <v>0</v>
      </c>
      <c r="AB109" s="34">
        <v>0</v>
      </c>
      <c r="AC109" s="34">
        <v>0</v>
      </c>
      <c r="AD109" s="34">
        <v>0</v>
      </c>
      <c r="AE109" s="34">
        <v>0</v>
      </c>
      <c r="AF109" s="34">
        <v>1218492</v>
      </c>
      <c r="AG109" s="34">
        <v>91325</v>
      </c>
      <c r="AH109" s="34">
        <v>113832.45</v>
      </c>
      <c r="AI109" s="34">
        <v>227664.89</v>
      </c>
      <c r="AJ109" s="34">
        <v>341497.34</v>
      </c>
      <c r="AK109" s="34">
        <v>0</v>
      </c>
      <c r="AL109" s="34">
        <v>0</v>
      </c>
      <c r="AM109" s="34">
        <v>0</v>
      </c>
      <c r="AN109" s="34">
        <v>0</v>
      </c>
      <c r="AO109" s="34">
        <v>0</v>
      </c>
      <c r="AP109" s="34">
        <v>55548.9</v>
      </c>
      <c r="AQ109" s="34">
        <v>0</v>
      </c>
      <c r="AR109" s="34">
        <v>682994.68</v>
      </c>
      <c r="AS109" s="34">
        <v>0</v>
      </c>
      <c r="AT109" s="34">
        <v>39166.43</v>
      </c>
      <c r="AU109" s="34">
        <v>232947</v>
      </c>
      <c r="AV109" s="34">
        <v>27200</v>
      </c>
      <c r="AW109" s="34">
        <v>20400</v>
      </c>
      <c r="AX109" s="34">
        <v>0</v>
      </c>
      <c r="AY109" s="34">
        <v>0</v>
      </c>
      <c r="AZ109" s="34">
        <v>34000</v>
      </c>
      <c r="BA109" s="34">
        <v>10200</v>
      </c>
      <c r="BB109" s="34">
        <v>27200</v>
      </c>
      <c r="BC109" s="34">
        <v>87454.88</v>
      </c>
      <c r="BD109" s="34">
        <v>1408.68</v>
      </c>
      <c r="BE109" s="34">
        <v>0</v>
      </c>
      <c r="BF109" s="34">
        <v>0</v>
      </c>
      <c r="BG109" s="34">
        <v>0</v>
      </c>
      <c r="BH109" s="34">
        <v>0</v>
      </c>
      <c r="BI109" s="34">
        <v>0</v>
      </c>
      <c r="BJ109" s="34">
        <v>0</v>
      </c>
      <c r="BK109" s="34">
        <v>119483.41</v>
      </c>
      <c r="BL109" s="34">
        <v>18955</v>
      </c>
      <c r="BM109" s="34">
        <v>0</v>
      </c>
      <c r="BN109" s="34">
        <v>0</v>
      </c>
      <c r="BO109" s="34">
        <v>0</v>
      </c>
      <c r="BP109" s="34">
        <v>0</v>
      </c>
      <c r="BQ109" s="34">
        <v>0</v>
      </c>
      <c r="BR109" s="34">
        <v>0</v>
      </c>
      <c r="BS109" s="34">
        <v>0</v>
      </c>
      <c r="BT109" s="34">
        <v>0</v>
      </c>
      <c r="BU109" s="34">
        <v>0</v>
      </c>
      <c r="BV109" s="34">
        <v>0</v>
      </c>
      <c r="BW109" s="34">
        <v>0</v>
      </c>
      <c r="BX109" s="34">
        <v>0</v>
      </c>
      <c r="BY109" s="34">
        <v>0</v>
      </c>
      <c r="BZ109" s="34">
        <v>0</v>
      </c>
      <c r="CA109" s="34">
        <v>311170.46000000002</v>
      </c>
      <c r="CB109" s="34">
        <v>4300.5600000000004</v>
      </c>
      <c r="CC109" s="34">
        <v>324.79000000000002</v>
      </c>
      <c r="CD109" s="34">
        <v>0</v>
      </c>
      <c r="CE109" s="34">
        <v>111850.85</v>
      </c>
      <c r="CF109" s="34">
        <v>0</v>
      </c>
      <c r="CJ109" s="28">
        <f t="shared" si="34"/>
        <v>5314738.2399999984</v>
      </c>
      <c r="CK109" s="28">
        <v>113832</v>
      </c>
      <c r="CM109" s="34">
        <f t="shared" si="46"/>
        <v>46193.5</v>
      </c>
      <c r="CN109" s="34">
        <f t="shared" si="35"/>
        <v>0</v>
      </c>
      <c r="CQ109" s="28">
        <f>IF('Gen ed tchrs'!$V105&gt;37,2*113832,IF('Gen ed tchrs'!$V105&gt;25,1.5*113832,113832))</f>
        <v>113832</v>
      </c>
      <c r="CR109" s="28">
        <f>IF('Gen ed tchrs'!$V105&gt;37,2*113832,IF('Gen ed tchrs'!$V105&gt;25,1.5*113832,113832))</f>
        <v>113832</v>
      </c>
      <c r="CS109" s="28">
        <f>IF('Gen ed tchrs'!$V105&gt;39.1,3.5*113832,IF('Gen ed tchrs'!$V105&gt;33.1,3*113832,IF('Gen ed tchrs'!$V105&gt;26.1,2.5*113832,IF('Gen ed tchrs'!$V105&gt;20.1,2*113832,IF('Gen ed tchrs'!$V105&gt;13.1,1.5*113832,113832)))))</f>
        <v>170748</v>
      </c>
      <c r="CT109" s="34">
        <f>VLOOKUP($A109,'PosxSchpostCouncil 22'!$A$6:$DP$121,94,FALSE)*CT$123</f>
        <v>78332.86</v>
      </c>
      <c r="CU109" s="28">
        <f>VLOOKUP($A109,'Gen ed tchrs'!A105:R220,18,FALSE)*CU$123</f>
        <v>1365989.4</v>
      </c>
      <c r="CV109" s="28">
        <f>'Gen ed tchrs'!Z105*CV$123/2</f>
        <v>56916.224999999999</v>
      </c>
      <c r="DB109" s="28">
        <f t="shared" si="36"/>
        <v>2059675.9849999999</v>
      </c>
      <c r="DC109" s="28">
        <f t="shared" si="37"/>
        <v>1218492</v>
      </c>
      <c r="DD109" s="28">
        <f t="shared" si="47"/>
        <v>112175.64</v>
      </c>
      <c r="DE109" s="28">
        <f t="shared" si="38"/>
        <v>1330667.6399999999</v>
      </c>
      <c r="DF109" s="6">
        <f t="shared" si="39"/>
        <v>-729008.34499999997</v>
      </c>
      <c r="DM109" s="34"/>
      <c r="DN109" s="34"/>
    </row>
    <row r="110" spans="1:118" x14ac:dyDescent="0.2">
      <c r="A110">
        <v>327</v>
      </c>
      <c r="B110" t="s">
        <v>15</v>
      </c>
      <c r="C110" t="s">
        <v>7</v>
      </c>
      <c r="D110">
        <v>4</v>
      </c>
      <c r="E110">
        <v>444</v>
      </c>
      <c r="F110">
        <v>336</v>
      </c>
      <c r="G110">
        <v>379</v>
      </c>
      <c r="H110" s="50">
        <f t="shared" si="33"/>
        <v>-43</v>
      </c>
      <c r="I110" s="4">
        <v>0.57207207207207211</v>
      </c>
      <c r="J110">
        <v>254</v>
      </c>
      <c r="K110" s="34">
        <v>198942.26</v>
      </c>
      <c r="L110" s="34">
        <v>0</v>
      </c>
      <c r="M110" s="34">
        <v>0</v>
      </c>
      <c r="N110" s="34">
        <v>71961.03</v>
      </c>
      <c r="O110" s="34">
        <v>6606.3</v>
      </c>
      <c r="P110" s="34">
        <v>79024.509999999995</v>
      </c>
      <c r="Q110" s="34">
        <v>60058.83</v>
      </c>
      <c r="R110" s="34">
        <v>102374.53</v>
      </c>
      <c r="S110" s="34">
        <v>113832.45</v>
      </c>
      <c r="T110" s="34">
        <v>341497.34</v>
      </c>
      <c r="U110" s="34">
        <v>113832.45</v>
      </c>
      <c r="V110" s="34">
        <v>341497.34</v>
      </c>
      <c r="W110" s="34">
        <v>274164.99</v>
      </c>
      <c r="X110" s="34">
        <v>193525.2</v>
      </c>
      <c r="Y110" s="34">
        <v>0</v>
      </c>
      <c r="Z110" s="34">
        <v>0</v>
      </c>
      <c r="AA110" s="34">
        <v>0</v>
      </c>
      <c r="AB110" s="34">
        <v>0</v>
      </c>
      <c r="AC110" s="34">
        <v>0</v>
      </c>
      <c r="AD110" s="34">
        <v>0</v>
      </c>
      <c r="AE110" s="34">
        <v>0</v>
      </c>
      <c r="AF110" s="34">
        <v>2006928</v>
      </c>
      <c r="AG110" s="34">
        <v>144300</v>
      </c>
      <c r="AH110" s="34">
        <v>113832.45</v>
      </c>
      <c r="AI110" s="34">
        <v>455329.78</v>
      </c>
      <c r="AJ110" s="34">
        <v>455329.78</v>
      </c>
      <c r="AK110" s="34">
        <v>113832.45</v>
      </c>
      <c r="AL110" s="34">
        <v>39166.43</v>
      </c>
      <c r="AM110" s="34">
        <v>0</v>
      </c>
      <c r="AN110" s="34">
        <v>57558.06</v>
      </c>
      <c r="AO110" s="34">
        <v>0</v>
      </c>
      <c r="AP110" s="34">
        <v>111097.8</v>
      </c>
      <c r="AQ110" s="34">
        <v>0</v>
      </c>
      <c r="AR110" s="34">
        <v>1593654.25</v>
      </c>
      <c r="AS110" s="34">
        <v>0</v>
      </c>
      <c r="AT110" s="34">
        <v>78332.850000000006</v>
      </c>
      <c r="AU110" s="34">
        <v>537570</v>
      </c>
      <c r="AV110" s="34">
        <v>27200</v>
      </c>
      <c r="AW110" s="34">
        <v>20400</v>
      </c>
      <c r="AX110" s="34">
        <v>0</v>
      </c>
      <c r="AY110" s="34">
        <v>0</v>
      </c>
      <c r="AZ110" s="34">
        <v>34000</v>
      </c>
      <c r="BA110" s="34">
        <v>10200</v>
      </c>
      <c r="BB110" s="34">
        <v>27200</v>
      </c>
      <c r="BC110" s="34">
        <v>134212.93</v>
      </c>
      <c r="BD110" s="34">
        <v>2161.84</v>
      </c>
      <c r="BE110" s="34">
        <v>0</v>
      </c>
      <c r="BF110" s="34">
        <v>0</v>
      </c>
      <c r="BG110" s="34">
        <v>0</v>
      </c>
      <c r="BH110" s="34">
        <v>0</v>
      </c>
      <c r="BI110" s="34">
        <v>0</v>
      </c>
      <c r="BJ110" s="34">
        <v>0</v>
      </c>
      <c r="BK110" s="34">
        <v>0</v>
      </c>
      <c r="BL110" s="34">
        <v>0</v>
      </c>
      <c r="BM110" s="34">
        <v>0</v>
      </c>
      <c r="BN110" s="34">
        <v>0</v>
      </c>
      <c r="BO110" s="34">
        <v>0</v>
      </c>
      <c r="BP110" s="34">
        <v>0</v>
      </c>
      <c r="BQ110" s="34">
        <v>0</v>
      </c>
      <c r="BR110" s="34">
        <v>0</v>
      </c>
      <c r="BS110" s="34">
        <v>0</v>
      </c>
      <c r="BT110" s="34">
        <v>0</v>
      </c>
      <c r="BU110" s="34">
        <v>0</v>
      </c>
      <c r="BV110" s="34">
        <v>0</v>
      </c>
      <c r="BW110" s="34">
        <v>0</v>
      </c>
      <c r="BX110" s="34">
        <v>0</v>
      </c>
      <c r="BY110" s="34">
        <v>0</v>
      </c>
      <c r="BZ110" s="34">
        <v>0</v>
      </c>
      <c r="CA110" s="34">
        <v>681356.02</v>
      </c>
      <c r="CB110" s="34">
        <v>91267.44</v>
      </c>
      <c r="CC110" s="34">
        <v>460231.27</v>
      </c>
      <c r="CD110" s="34">
        <v>0</v>
      </c>
      <c r="CE110" s="34">
        <v>0</v>
      </c>
      <c r="CF110" s="34">
        <v>112146.92</v>
      </c>
      <c r="CJ110" s="28">
        <f t="shared" si="34"/>
        <v>9204625.4999999981</v>
      </c>
      <c r="CK110" s="28">
        <v>113832</v>
      </c>
      <c r="CL110" s="28">
        <f t="shared" ref="CL110:CL119" si="48">E110/400*CL$123</f>
        <v>176001.6</v>
      </c>
      <c r="CM110" s="34">
        <f t="shared" si="46"/>
        <v>92387</v>
      </c>
      <c r="CN110" s="34">
        <f t="shared" si="35"/>
        <v>48313.513513513513</v>
      </c>
      <c r="CQ110" s="28">
        <f>IF('Gen ed tchrs'!$V106&gt;37,2*113832,IF('Gen ed tchrs'!$V106&gt;25,1.5*113832,113832))</f>
        <v>170748</v>
      </c>
      <c r="CR110" s="28">
        <f>IF('Gen ed tchrs'!$V106&gt;37,2*113832,IF('Gen ed tchrs'!$V106&gt;25,1.5*113832,113832))</f>
        <v>170748</v>
      </c>
      <c r="CS110" s="28">
        <f>IF('Gen ed tchrs'!$V106&gt;39.1,3.5*113832,IF('Gen ed tchrs'!$V106&gt;33.1,3*113832,IF('Gen ed tchrs'!$V106&gt;26.1,2.5*113832,IF('Gen ed tchrs'!$V106&gt;20.1,2*113832,IF('Gen ed tchrs'!$V106&gt;13.1,1.5*113832,113832)))))</f>
        <v>227664</v>
      </c>
      <c r="CT110" s="34">
        <f>VLOOKUP($A110,'PosxSchpostCouncil 22'!$A$6:$DP$121,94,FALSE)*CT$123</f>
        <v>156665.72</v>
      </c>
      <c r="CU110" s="28">
        <f>VLOOKUP($A110,'Gen ed tchrs'!A106:R221,18,FALSE)*CU$123</f>
        <v>2048984.0999999999</v>
      </c>
      <c r="CV110" s="28">
        <f>'Gen ed tchrs'!Z106*CV$123/2</f>
        <v>66449.692687499992</v>
      </c>
      <c r="DB110" s="28">
        <f t="shared" si="36"/>
        <v>3271793.6262010131</v>
      </c>
      <c r="DC110" s="28">
        <f t="shared" si="37"/>
        <v>2006928</v>
      </c>
      <c r="DD110" s="28">
        <f t="shared" si="47"/>
        <v>572378.19000000006</v>
      </c>
      <c r="DE110" s="28">
        <f t="shared" si="38"/>
        <v>2579306.19</v>
      </c>
      <c r="DF110" s="6">
        <f t="shared" si="39"/>
        <v>-692487.43620101316</v>
      </c>
      <c r="DM110" s="34"/>
      <c r="DN110" s="34"/>
    </row>
    <row r="111" spans="1:118" x14ac:dyDescent="0.2">
      <c r="A111">
        <v>328</v>
      </c>
      <c r="B111" t="s">
        <v>14</v>
      </c>
      <c r="C111" t="s">
        <v>7</v>
      </c>
      <c r="D111">
        <v>1</v>
      </c>
      <c r="E111">
        <v>539</v>
      </c>
      <c r="F111">
        <v>475</v>
      </c>
      <c r="G111">
        <v>485</v>
      </c>
      <c r="H111" s="50">
        <f t="shared" si="33"/>
        <v>-10</v>
      </c>
      <c r="I111" s="4">
        <v>0.53617810760667906</v>
      </c>
      <c r="J111">
        <v>289</v>
      </c>
      <c r="K111" s="34">
        <v>198942.26</v>
      </c>
      <c r="L111" s="34">
        <v>0</v>
      </c>
      <c r="M111" s="34">
        <v>0</v>
      </c>
      <c r="N111" s="34">
        <v>71961.03</v>
      </c>
      <c r="O111" s="34">
        <v>6321.8</v>
      </c>
      <c r="P111" s="34">
        <v>79024.509999999995</v>
      </c>
      <c r="Q111" s="34">
        <v>60058.83</v>
      </c>
      <c r="R111" s="34">
        <v>153561.79</v>
      </c>
      <c r="S111" s="34">
        <v>113832.45</v>
      </c>
      <c r="T111" s="34">
        <v>0</v>
      </c>
      <c r="U111" s="34">
        <v>455329.78</v>
      </c>
      <c r="V111" s="34">
        <v>0</v>
      </c>
      <c r="W111" s="34">
        <v>156665.71</v>
      </c>
      <c r="X111" s="34">
        <v>114681.60000000001</v>
      </c>
      <c r="Y111" s="34">
        <v>0</v>
      </c>
      <c r="Z111" s="34">
        <v>0</v>
      </c>
      <c r="AA111" s="34">
        <v>0</v>
      </c>
      <c r="AB111" s="34">
        <v>0</v>
      </c>
      <c r="AC111" s="34">
        <v>0</v>
      </c>
      <c r="AD111" s="34">
        <v>0</v>
      </c>
      <c r="AE111" s="34">
        <v>0</v>
      </c>
      <c r="AF111" s="34">
        <v>2837175</v>
      </c>
      <c r="AG111" s="34">
        <v>175175</v>
      </c>
      <c r="AH111" s="34">
        <v>113832.45</v>
      </c>
      <c r="AI111" s="34">
        <v>341497.34</v>
      </c>
      <c r="AJ111" s="34">
        <v>910659.57</v>
      </c>
      <c r="AK111" s="34">
        <v>455329.78</v>
      </c>
      <c r="AL111" s="34">
        <v>234998.56</v>
      </c>
      <c r="AM111" s="34">
        <v>0</v>
      </c>
      <c r="AN111" s="34">
        <v>0</v>
      </c>
      <c r="AO111" s="34">
        <v>0</v>
      </c>
      <c r="AP111" s="34">
        <v>238322.7</v>
      </c>
      <c r="AQ111" s="34">
        <v>0</v>
      </c>
      <c r="AR111" s="34">
        <v>1593654.25</v>
      </c>
      <c r="AS111" s="34">
        <v>0</v>
      </c>
      <c r="AT111" s="34">
        <v>39166.43</v>
      </c>
      <c r="AU111" s="34">
        <v>537570</v>
      </c>
      <c r="AV111" s="34">
        <v>0</v>
      </c>
      <c r="AW111" s="34">
        <v>0</v>
      </c>
      <c r="AX111" s="34">
        <v>0</v>
      </c>
      <c r="AY111" s="34">
        <v>0</v>
      </c>
      <c r="AZ111" s="34">
        <v>0</v>
      </c>
      <c r="BA111" s="34">
        <v>0</v>
      </c>
      <c r="BB111" s="34">
        <v>0</v>
      </c>
      <c r="BC111" s="34">
        <v>229460.82</v>
      </c>
      <c r="BD111" s="34">
        <v>3696.05</v>
      </c>
      <c r="BE111" s="34">
        <v>0</v>
      </c>
      <c r="BF111" s="34">
        <v>0</v>
      </c>
      <c r="BG111" s="34">
        <v>0</v>
      </c>
      <c r="BH111" s="34">
        <v>0</v>
      </c>
      <c r="BI111" s="34">
        <v>0</v>
      </c>
      <c r="BJ111" s="34">
        <v>0</v>
      </c>
      <c r="BK111" s="34">
        <v>0</v>
      </c>
      <c r="BL111" s="34">
        <v>0</v>
      </c>
      <c r="BM111" s="34">
        <v>0</v>
      </c>
      <c r="BN111" s="34">
        <v>0</v>
      </c>
      <c r="BO111" s="34">
        <v>0</v>
      </c>
      <c r="BP111" s="34">
        <v>0</v>
      </c>
      <c r="BQ111" s="34">
        <v>0</v>
      </c>
      <c r="BR111" s="34">
        <v>0</v>
      </c>
      <c r="BS111" s="34">
        <v>0</v>
      </c>
      <c r="BT111" s="34">
        <v>0</v>
      </c>
      <c r="BU111" s="34">
        <v>0</v>
      </c>
      <c r="BV111" s="34">
        <v>0</v>
      </c>
      <c r="BW111" s="34">
        <v>0</v>
      </c>
      <c r="BX111" s="34">
        <v>0</v>
      </c>
      <c r="BY111" s="34">
        <v>0</v>
      </c>
      <c r="BZ111" s="34">
        <v>0</v>
      </c>
      <c r="CA111" s="34">
        <v>775243.66</v>
      </c>
      <c r="CB111" s="34">
        <v>87683.64</v>
      </c>
      <c r="CC111" s="34">
        <v>0</v>
      </c>
      <c r="CD111" s="34">
        <v>0</v>
      </c>
      <c r="CE111" s="34">
        <v>0</v>
      </c>
      <c r="CF111" s="34">
        <v>0</v>
      </c>
      <c r="CJ111" s="28">
        <f t="shared" si="34"/>
        <v>9983845.0100000016</v>
      </c>
      <c r="CK111" s="28">
        <v>113832</v>
      </c>
      <c r="CL111" s="28">
        <f t="shared" si="48"/>
        <v>213659.59999999998</v>
      </c>
      <c r="CM111" s="34">
        <f t="shared" si="46"/>
        <v>92387</v>
      </c>
      <c r="CN111" s="34">
        <f t="shared" si="35"/>
        <v>39798.144712430425</v>
      </c>
      <c r="CQ111" s="28">
        <f>IF('Gen ed tchrs'!$V107&gt;37,2*113832,IF('Gen ed tchrs'!$V107&gt;25,1.5*113832,113832))</f>
        <v>170748</v>
      </c>
      <c r="CR111" s="28">
        <f>IF('Gen ed tchrs'!$V107&gt;37,2*113832,IF('Gen ed tchrs'!$V107&gt;25,1.5*113832,113832))</f>
        <v>170748</v>
      </c>
      <c r="CS111" s="28">
        <f>IF('Gen ed tchrs'!$V107&gt;39.1,3.5*113832,IF('Gen ed tchrs'!$V107&gt;33.1,3*113832,IF('Gen ed tchrs'!$V107&gt;26.1,2.5*113832,IF('Gen ed tchrs'!$V107&gt;20.1,2*113832,IF('Gen ed tchrs'!$V107&gt;13.1,1.5*113832,113832)))))</f>
        <v>284580</v>
      </c>
      <c r="CT111" s="34">
        <f>VLOOKUP($A111,'PosxSchpostCouncil 22'!$A$6:$DP$121,94,FALSE)*CT$123</f>
        <v>156665.72</v>
      </c>
      <c r="CU111" s="28">
        <f>VLOOKUP($A111,'Gen ed tchrs'!A107:R222,18,FALSE)*CU$123</f>
        <v>2731978.8</v>
      </c>
      <c r="CV111" s="28">
        <f>'Gen ed tchrs'!Z107*CV$123/2</f>
        <v>56311.490109374994</v>
      </c>
      <c r="DB111" s="28">
        <f t="shared" si="36"/>
        <v>4030708.7548218057</v>
      </c>
      <c r="DC111" s="28">
        <f t="shared" si="37"/>
        <v>2837175</v>
      </c>
      <c r="DD111" s="28">
        <f t="shared" si="47"/>
        <v>0</v>
      </c>
      <c r="DE111" s="28">
        <f t="shared" si="38"/>
        <v>2837175</v>
      </c>
      <c r="DF111" s="6">
        <f t="shared" si="39"/>
        <v>-1193533.7548218057</v>
      </c>
      <c r="DM111" s="34"/>
      <c r="DN111" s="34"/>
    </row>
    <row r="112" spans="1:118" x14ac:dyDescent="0.2">
      <c r="A112">
        <v>329</v>
      </c>
      <c r="B112" t="s">
        <v>13</v>
      </c>
      <c r="C112" t="s">
        <v>7</v>
      </c>
      <c r="D112">
        <v>8</v>
      </c>
      <c r="E112">
        <v>514</v>
      </c>
      <c r="F112">
        <v>430</v>
      </c>
      <c r="G112">
        <v>406</v>
      </c>
      <c r="H112" s="50">
        <f t="shared" si="33"/>
        <v>24</v>
      </c>
      <c r="I112" s="4">
        <v>0.80544747081712065</v>
      </c>
      <c r="J112">
        <v>414</v>
      </c>
      <c r="K112" s="34">
        <v>198942.26</v>
      </c>
      <c r="L112" s="34">
        <v>0</v>
      </c>
      <c r="M112" s="34">
        <v>0</v>
      </c>
      <c r="N112" s="34">
        <v>71961.03</v>
      </c>
      <c r="O112" s="34">
        <v>7155.45</v>
      </c>
      <c r="P112" s="34">
        <v>79024.509999999995</v>
      </c>
      <c r="Q112" s="34">
        <v>60058.83</v>
      </c>
      <c r="R112" s="34">
        <v>153561.79</v>
      </c>
      <c r="S112" s="34">
        <v>113832.45</v>
      </c>
      <c r="T112" s="34">
        <v>227664.89</v>
      </c>
      <c r="U112" s="34">
        <v>113832.45</v>
      </c>
      <c r="V112" s="34">
        <v>227664.89</v>
      </c>
      <c r="W112" s="34">
        <v>195832.13</v>
      </c>
      <c r="X112" s="34">
        <v>150519.6</v>
      </c>
      <c r="Y112" s="34">
        <v>0</v>
      </c>
      <c r="Z112" s="34">
        <v>0</v>
      </c>
      <c r="AA112" s="34">
        <v>0</v>
      </c>
      <c r="AB112" s="34">
        <v>0</v>
      </c>
      <c r="AC112" s="34">
        <v>0</v>
      </c>
      <c r="AD112" s="34">
        <v>0</v>
      </c>
      <c r="AE112" s="34">
        <v>0</v>
      </c>
      <c r="AF112" s="34">
        <v>2568390</v>
      </c>
      <c r="AG112" s="34">
        <v>167050</v>
      </c>
      <c r="AH112" s="34">
        <v>113832.45</v>
      </c>
      <c r="AI112" s="34">
        <v>227664.89</v>
      </c>
      <c r="AJ112" s="34">
        <v>569162.23</v>
      </c>
      <c r="AK112" s="34">
        <v>569162.23</v>
      </c>
      <c r="AL112" s="34">
        <v>391664.27</v>
      </c>
      <c r="AM112" s="34">
        <v>0</v>
      </c>
      <c r="AN112" s="34">
        <v>0</v>
      </c>
      <c r="AO112" s="34">
        <v>0</v>
      </c>
      <c r="AP112" s="34">
        <v>168438.6</v>
      </c>
      <c r="AQ112" s="34">
        <v>0</v>
      </c>
      <c r="AR112" s="34">
        <v>0</v>
      </c>
      <c r="AS112" s="34">
        <v>10244.92</v>
      </c>
      <c r="AT112" s="34">
        <v>0</v>
      </c>
      <c r="AU112" s="34">
        <v>3583.8</v>
      </c>
      <c r="AV112" s="34">
        <v>20400</v>
      </c>
      <c r="AW112" s="34">
        <v>13600</v>
      </c>
      <c r="AX112" s="34">
        <v>0</v>
      </c>
      <c r="AY112" s="34">
        <v>0</v>
      </c>
      <c r="AZ112" s="34">
        <v>27200</v>
      </c>
      <c r="BA112" s="34">
        <v>10200</v>
      </c>
      <c r="BB112" s="34">
        <v>20400</v>
      </c>
      <c r="BC112" s="34">
        <v>278167.12</v>
      </c>
      <c r="BD112" s="34">
        <v>4480.59</v>
      </c>
      <c r="BE112" s="34">
        <v>0</v>
      </c>
      <c r="BF112" s="34">
        <v>0</v>
      </c>
      <c r="BG112" s="34">
        <v>0</v>
      </c>
      <c r="BH112" s="34">
        <v>0</v>
      </c>
      <c r="BI112" s="34">
        <v>0</v>
      </c>
      <c r="BJ112" s="34">
        <v>0</v>
      </c>
      <c r="BK112" s="34">
        <v>119483.41</v>
      </c>
      <c r="BL112" s="34">
        <v>19455</v>
      </c>
      <c r="BM112" s="34">
        <v>0</v>
      </c>
      <c r="BN112" s="34">
        <v>0</v>
      </c>
      <c r="BO112" s="34">
        <v>0</v>
      </c>
      <c r="BP112" s="34">
        <v>0</v>
      </c>
      <c r="BQ112" s="34">
        <v>0</v>
      </c>
      <c r="BR112" s="34">
        <v>0</v>
      </c>
      <c r="BS112" s="34">
        <v>0</v>
      </c>
      <c r="BT112" s="34">
        <v>0</v>
      </c>
      <c r="BU112" s="34">
        <v>15325</v>
      </c>
      <c r="BV112" s="34">
        <v>0</v>
      </c>
      <c r="BW112" s="34">
        <v>0</v>
      </c>
      <c r="BX112" s="34">
        <v>0</v>
      </c>
      <c r="BY112" s="34">
        <v>0</v>
      </c>
      <c r="BZ112" s="34">
        <v>0</v>
      </c>
      <c r="CA112" s="34">
        <v>1110556.6599999999</v>
      </c>
      <c r="CB112" s="34">
        <v>248954.64</v>
      </c>
      <c r="CC112" s="34">
        <v>0</v>
      </c>
      <c r="CD112" s="34">
        <v>0</v>
      </c>
      <c r="CE112" s="34">
        <v>0</v>
      </c>
      <c r="CF112" s="34">
        <v>0</v>
      </c>
      <c r="CJ112" s="28">
        <f t="shared" si="34"/>
        <v>8277466.0899999989</v>
      </c>
      <c r="CK112" s="28">
        <v>113832</v>
      </c>
      <c r="CL112" s="28">
        <f t="shared" si="48"/>
        <v>203749.59999999998</v>
      </c>
      <c r="CM112" s="34">
        <f t="shared" si="46"/>
        <v>92387</v>
      </c>
      <c r="CN112" s="34">
        <f t="shared" si="35"/>
        <v>41733.852140077819</v>
      </c>
      <c r="CQ112" s="28">
        <f>IF('Gen ed tchrs'!$V108&gt;37,2*113832,IF('Gen ed tchrs'!$V108&gt;25,1.5*113832,113832))</f>
        <v>170748</v>
      </c>
      <c r="CR112" s="28">
        <f>IF('Gen ed tchrs'!$V108&gt;37,2*113832,IF('Gen ed tchrs'!$V108&gt;25,1.5*113832,113832))</f>
        <v>170748</v>
      </c>
      <c r="CS112" s="28">
        <f>IF('Gen ed tchrs'!$V108&gt;39.1,3.5*113832,IF('Gen ed tchrs'!$V108&gt;33.1,3*113832,IF('Gen ed tchrs'!$V108&gt;26.1,2.5*113832,IF('Gen ed tchrs'!$V108&gt;20.1,2*113832,IF('Gen ed tchrs'!$V108&gt;13.1,1.5*113832,113832)))))</f>
        <v>284580</v>
      </c>
      <c r="CT112" s="34">
        <f>VLOOKUP($A112,'PosxSchpostCouncil 22'!$A$6:$DP$121,94,FALSE)*CT$123</f>
        <v>117499.29000000001</v>
      </c>
      <c r="CU112" s="28">
        <f>VLOOKUP($A112,'Gen ed tchrs'!A108:R223,18,FALSE)*CU$123</f>
        <v>2504313.9</v>
      </c>
      <c r="CV112" s="28">
        <f>'Gen ed tchrs'!Z108*CV$123/2</f>
        <v>58979.438156250006</v>
      </c>
      <c r="DB112" s="28">
        <f t="shared" si="36"/>
        <v>3758571.0802963274</v>
      </c>
      <c r="DC112" s="28">
        <f t="shared" si="37"/>
        <v>2568390</v>
      </c>
      <c r="DD112" s="28">
        <f t="shared" si="47"/>
        <v>0</v>
      </c>
      <c r="DE112" s="28">
        <f t="shared" si="38"/>
        <v>2568390</v>
      </c>
      <c r="DF112" s="6">
        <f t="shared" si="39"/>
        <v>-1190181.0802963274</v>
      </c>
      <c r="DM112" s="34"/>
      <c r="DN112" s="34"/>
    </row>
    <row r="113" spans="1:139" x14ac:dyDescent="0.2">
      <c r="A113">
        <v>330</v>
      </c>
      <c r="B113" t="s">
        <v>12</v>
      </c>
      <c r="C113" t="s">
        <v>7</v>
      </c>
      <c r="D113">
        <v>6</v>
      </c>
      <c r="E113">
        <v>511</v>
      </c>
      <c r="F113">
        <v>383</v>
      </c>
      <c r="G113">
        <v>418</v>
      </c>
      <c r="H113" s="50">
        <f t="shared" si="33"/>
        <v>-35</v>
      </c>
      <c r="I113" s="4">
        <v>0.38356164383561642</v>
      </c>
      <c r="J113">
        <v>196</v>
      </c>
      <c r="K113" s="34">
        <v>198942.26</v>
      </c>
      <c r="L113" s="34">
        <v>0</v>
      </c>
      <c r="M113" s="34">
        <v>0</v>
      </c>
      <c r="N113" s="34">
        <v>71961.03</v>
      </c>
      <c r="O113" s="34">
        <v>6455.85</v>
      </c>
      <c r="P113" s="34">
        <v>79024.509999999995</v>
      </c>
      <c r="Q113" s="34">
        <v>60058.83</v>
      </c>
      <c r="R113" s="34">
        <v>153561.79</v>
      </c>
      <c r="S113" s="34">
        <v>113832.45</v>
      </c>
      <c r="T113" s="34">
        <v>455329.78</v>
      </c>
      <c r="U113" s="34">
        <v>0</v>
      </c>
      <c r="V113" s="34">
        <v>455329.78</v>
      </c>
      <c r="W113" s="34">
        <v>313331.40999999997</v>
      </c>
      <c r="X113" s="34">
        <v>229363.20000000001</v>
      </c>
      <c r="Y113" s="34">
        <v>0</v>
      </c>
      <c r="Z113" s="34">
        <v>0</v>
      </c>
      <c r="AA113" s="34">
        <v>0</v>
      </c>
      <c r="AB113" s="34">
        <v>0</v>
      </c>
      <c r="AC113" s="34">
        <v>0</v>
      </c>
      <c r="AD113" s="34">
        <v>0</v>
      </c>
      <c r="AE113" s="34">
        <v>0</v>
      </c>
      <c r="AF113" s="34">
        <v>2287659</v>
      </c>
      <c r="AG113" s="34">
        <v>166075</v>
      </c>
      <c r="AH113" s="34">
        <v>113832.45</v>
      </c>
      <c r="AI113" s="34">
        <v>227664.89</v>
      </c>
      <c r="AJ113" s="34">
        <v>455329.78</v>
      </c>
      <c r="AK113" s="34">
        <v>341497.34</v>
      </c>
      <c r="AL113" s="34">
        <v>234998.56</v>
      </c>
      <c r="AM113" s="34">
        <v>0</v>
      </c>
      <c r="AN113" s="34">
        <v>0</v>
      </c>
      <c r="AO113" s="34">
        <v>0</v>
      </c>
      <c r="AP113" s="34">
        <v>129016.8</v>
      </c>
      <c r="AQ113" s="34">
        <v>0</v>
      </c>
      <c r="AR113" s="34">
        <v>113832.45</v>
      </c>
      <c r="AS113" s="34">
        <v>0</v>
      </c>
      <c r="AT113" s="34">
        <v>0</v>
      </c>
      <c r="AU113" s="34">
        <v>30462.3</v>
      </c>
      <c r="AV113" s="34">
        <v>20400</v>
      </c>
      <c r="AW113" s="34">
        <v>13600</v>
      </c>
      <c r="AX113" s="34">
        <v>0</v>
      </c>
      <c r="AY113" s="34">
        <v>0</v>
      </c>
      <c r="AZ113" s="34">
        <v>20400</v>
      </c>
      <c r="BA113" s="34">
        <v>10200</v>
      </c>
      <c r="BB113" s="34">
        <v>13600</v>
      </c>
      <c r="BC113" s="34">
        <v>150664.84</v>
      </c>
      <c r="BD113" s="34">
        <v>2426.84</v>
      </c>
      <c r="BE113" s="34">
        <v>0</v>
      </c>
      <c r="BF113" s="34">
        <v>0</v>
      </c>
      <c r="BG113" s="34">
        <v>0</v>
      </c>
      <c r="BH113" s="34">
        <v>0</v>
      </c>
      <c r="BI113" s="34">
        <v>0</v>
      </c>
      <c r="BJ113" s="34">
        <v>0</v>
      </c>
      <c r="BK113" s="34">
        <v>0</v>
      </c>
      <c r="BL113" s="34">
        <v>0</v>
      </c>
      <c r="BM113" s="34">
        <v>0</v>
      </c>
      <c r="BN113" s="34">
        <v>0</v>
      </c>
      <c r="BO113" s="34">
        <v>0</v>
      </c>
      <c r="BP113" s="34">
        <v>119500</v>
      </c>
      <c r="BQ113" s="34">
        <v>0</v>
      </c>
      <c r="BR113" s="34">
        <v>0</v>
      </c>
      <c r="BS113" s="34">
        <v>0</v>
      </c>
      <c r="BT113" s="34">
        <v>0</v>
      </c>
      <c r="BU113" s="34">
        <v>15325</v>
      </c>
      <c r="BV113" s="34">
        <v>0</v>
      </c>
      <c r="BW113" s="34">
        <v>0</v>
      </c>
      <c r="BX113" s="34">
        <v>0</v>
      </c>
      <c r="BY113" s="34">
        <v>0</v>
      </c>
      <c r="BZ113" s="34">
        <v>0</v>
      </c>
      <c r="CA113" s="34">
        <v>525770.78</v>
      </c>
      <c r="CB113" s="34">
        <v>0</v>
      </c>
      <c r="CC113" s="34">
        <v>390346.52</v>
      </c>
      <c r="CD113" s="34">
        <v>321033.63</v>
      </c>
      <c r="CE113" s="34">
        <v>210749.93</v>
      </c>
      <c r="CF113" s="34">
        <v>76387.09</v>
      </c>
      <c r="CJ113" s="28">
        <f t="shared" si="34"/>
        <v>8127964.0899999989</v>
      </c>
      <c r="CK113" s="28">
        <v>113832</v>
      </c>
      <c r="CL113" s="28">
        <f t="shared" si="48"/>
        <v>202560.40000000002</v>
      </c>
      <c r="CM113" s="34">
        <f t="shared" si="46"/>
        <v>92387</v>
      </c>
      <c r="CN113" s="34">
        <f t="shared" si="35"/>
        <v>41978.864970645787</v>
      </c>
      <c r="CQ113" s="28">
        <f>IF('Gen ed tchrs'!$V109&gt;37,2*113832,IF('Gen ed tchrs'!$V109&gt;25,1.5*113832,113832))</f>
        <v>170748</v>
      </c>
      <c r="CR113" s="28">
        <f>IF('Gen ed tchrs'!$V109&gt;37,2*113832,IF('Gen ed tchrs'!$V109&gt;25,1.5*113832,113832))</f>
        <v>170748</v>
      </c>
      <c r="CS113" s="28">
        <f>IF('Gen ed tchrs'!$V109&gt;39.1,3.5*113832,IF('Gen ed tchrs'!$V109&gt;33.1,3*113832,IF('Gen ed tchrs'!$V109&gt;26.1,2.5*113832,IF('Gen ed tchrs'!$V109&gt;20.1,2*113832,IF('Gen ed tchrs'!$V109&gt;13.1,1.5*113832,113832)))))</f>
        <v>284580</v>
      </c>
      <c r="CT113" s="34">
        <f>VLOOKUP($A113,'PosxSchpostCouncil 22'!$A$6:$DP$121,94,FALSE)*CT$123</f>
        <v>156665.72</v>
      </c>
      <c r="CU113" s="28">
        <f>VLOOKUP($A113,'Gen ed tchrs'!A109:R224,18,FALSE)*CU$123</f>
        <v>2276649</v>
      </c>
      <c r="CV113" s="28">
        <f>'Gen ed tchrs'!Z109*CV$123/2</f>
        <v>59299.591921874991</v>
      </c>
      <c r="DB113" s="28">
        <f t="shared" si="36"/>
        <v>3569448.5768925208</v>
      </c>
      <c r="DC113" s="28">
        <f t="shared" si="37"/>
        <v>2287659</v>
      </c>
      <c r="DD113" s="28">
        <f t="shared" si="47"/>
        <v>998517.17</v>
      </c>
      <c r="DE113" s="28">
        <f t="shared" si="38"/>
        <v>3286176.17</v>
      </c>
      <c r="DF113" s="6">
        <f t="shared" si="39"/>
        <v>-283272.40689252084</v>
      </c>
      <c r="DM113" s="34"/>
      <c r="DN113" s="34"/>
    </row>
    <row r="114" spans="1:139" x14ac:dyDescent="0.2">
      <c r="A114">
        <v>331</v>
      </c>
      <c r="B114" t="s">
        <v>11</v>
      </c>
      <c r="C114" t="s">
        <v>7</v>
      </c>
      <c r="D114">
        <v>6</v>
      </c>
      <c r="E114">
        <v>371</v>
      </c>
      <c r="F114">
        <v>304</v>
      </c>
      <c r="G114">
        <v>299</v>
      </c>
      <c r="H114" s="50">
        <f t="shared" si="33"/>
        <v>5</v>
      </c>
      <c r="I114" s="4">
        <v>0.33153638814016173</v>
      </c>
      <c r="J114">
        <v>123</v>
      </c>
      <c r="K114" s="34">
        <v>198942.26</v>
      </c>
      <c r="L114" s="34">
        <v>0</v>
      </c>
      <c r="M114" s="34">
        <v>0</v>
      </c>
      <c r="N114" s="34">
        <v>71961.03</v>
      </c>
      <c r="O114" s="34">
        <v>5376.65</v>
      </c>
      <c r="P114" s="34">
        <v>79024.509999999995</v>
      </c>
      <c r="Q114" s="34">
        <v>60058.83</v>
      </c>
      <c r="R114" s="34">
        <v>102374.53</v>
      </c>
      <c r="S114" s="34">
        <v>113832.45</v>
      </c>
      <c r="T114" s="34">
        <v>227664.89</v>
      </c>
      <c r="U114" s="34">
        <v>0</v>
      </c>
      <c r="V114" s="34">
        <v>227664.89</v>
      </c>
      <c r="W114" s="34">
        <v>156665.71</v>
      </c>
      <c r="X114" s="34">
        <v>120057.3</v>
      </c>
      <c r="Y114" s="34">
        <v>0</v>
      </c>
      <c r="Z114" s="34">
        <v>0</v>
      </c>
      <c r="AA114" s="34">
        <v>0</v>
      </c>
      <c r="AB114" s="34">
        <v>0</v>
      </c>
      <c r="AC114" s="34">
        <v>0</v>
      </c>
      <c r="AD114" s="34">
        <v>0</v>
      </c>
      <c r="AE114" s="34">
        <v>0</v>
      </c>
      <c r="AF114" s="34">
        <v>1815792</v>
      </c>
      <c r="AG114" s="34">
        <v>120575</v>
      </c>
      <c r="AH114" s="34">
        <v>113832.45</v>
      </c>
      <c r="AI114" s="34">
        <v>113832.45</v>
      </c>
      <c r="AJ114" s="34">
        <v>341497.34</v>
      </c>
      <c r="AK114" s="34">
        <v>0</v>
      </c>
      <c r="AL114" s="34">
        <v>0</v>
      </c>
      <c r="AM114" s="34">
        <v>0</v>
      </c>
      <c r="AN114" s="34">
        <v>0</v>
      </c>
      <c r="AO114" s="34">
        <v>0</v>
      </c>
      <c r="AP114" s="34">
        <v>82427.399999999994</v>
      </c>
      <c r="AQ114" s="34">
        <v>0</v>
      </c>
      <c r="AR114" s="34">
        <v>0</v>
      </c>
      <c r="AS114" s="34">
        <v>20489.84</v>
      </c>
      <c r="AT114" s="34">
        <v>0</v>
      </c>
      <c r="AU114" s="34">
        <v>7167.6</v>
      </c>
      <c r="AV114" s="34">
        <v>0</v>
      </c>
      <c r="AW114" s="34">
        <v>0</v>
      </c>
      <c r="AX114" s="34">
        <v>0</v>
      </c>
      <c r="AY114" s="34">
        <v>0</v>
      </c>
      <c r="AZ114" s="34">
        <v>0</v>
      </c>
      <c r="BA114" s="34">
        <v>0</v>
      </c>
      <c r="BB114" s="34">
        <v>0</v>
      </c>
      <c r="BC114" s="34">
        <v>109968.02</v>
      </c>
      <c r="BD114" s="34">
        <v>1771.31</v>
      </c>
      <c r="BE114" s="34">
        <v>0</v>
      </c>
      <c r="BF114" s="34">
        <v>0</v>
      </c>
      <c r="BG114" s="34">
        <v>0</v>
      </c>
      <c r="BH114" s="34">
        <v>0</v>
      </c>
      <c r="BI114" s="34">
        <v>0</v>
      </c>
      <c r="BJ114" s="34">
        <v>0</v>
      </c>
      <c r="BK114" s="34">
        <v>0</v>
      </c>
      <c r="BL114" s="34">
        <v>0</v>
      </c>
      <c r="BM114" s="34">
        <v>0</v>
      </c>
      <c r="BN114" s="34">
        <v>0</v>
      </c>
      <c r="BO114" s="34">
        <v>0</v>
      </c>
      <c r="BP114" s="34">
        <v>0</v>
      </c>
      <c r="BQ114" s="34">
        <v>0</v>
      </c>
      <c r="BR114" s="34">
        <v>0</v>
      </c>
      <c r="BS114" s="34">
        <v>0</v>
      </c>
      <c r="BT114" s="34">
        <v>0</v>
      </c>
      <c r="BU114" s="34">
        <v>15325</v>
      </c>
      <c r="BV114" s="34">
        <v>0</v>
      </c>
      <c r="BW114" s="34">
        <v>0</v>
      </c>
      <c r="BX114" s="34">
        <v>0</v>
      </c>
      <c r="BY114" s="34">
        <v>0</v>
      </c>
      <c r="BZ114" s="34">
        <v>0</v>
      </c>
      <c r="CA114" s="34">
        <v>329947.99</v>
      </c>
      <c r="CB114" s="34">
        <v>0</v>
      </c>
      <c r="CC114" s="34">
        <v>238871.27</v>
      </c>
      <c r="CD114" s="34">
        <v>182422.87</v>
      </c>
      <c r="CE114" s="34">
        <v>77168.649999999994</v>
      </c>
      <c r="CF114" s="34">
        <v>25136.11</v>
      </c>
      <c r="CJ114" s="28">
        <f t="shared" si="34"/>
        <v>4959848.3500000006</v>
      </c>
      <c r="CK114" s="28">
        <v>113832</v>
      </c>
      <c r="CL114" s="28">
        <f t="shared" si="48"/>
        <v>147064.4</v>
      </c>
      <c r="CM114" s="34">
        <f t="shared" si="46"/>
        <v>92387</v>
      </c>
      <c r="CN114" s="34">
        <f t="shared" si="35"/>
        <v>0</v>
      </c>
      <c r="CQ114" s="28">
        <f>IF('Gen ed tchrs'!$V110&gt;37,2*113832,IF('Gen ed tchrs'!$V110&gt;25,1.5*113832,113832))</f>
        <v>113832</v>
      </c>
      <c r="CR114" s="28">
        <f>IF('Gen ed tchrs'!$V110&gt;37,2*113832,IF('Gen ed tchrs'!$V110&gt;25,1.5*113832,113832))</f>
        <v>113832</v>
      </c>
      <c r="CS114" s="28">
        <f>IF('Gen ed tchrs'!$V110&gt;39.1,3.5*113832,IF('Gen ed tchrs'!$V110&gt;33.1,3*113832,IF('Gen ed tchrs'!$V110&gt;26.1,2.5*113832,IF('Gen ed tchrs'!$V110&gt;20.1,2*113832,IF('Gen ed tchrs'!$V110&gt;13.1,1.5*113832,113832)))))</f>
        <v>170748</v>
      </c>
      <c r="CT114" s="34">
        <f>VLOOKUP($A114,'PosxSchpostCouncil 22'!$A$6:$DP$121,94,FALSE)*CT$123</f>
        <v>117499.29000000001</v>
      </c>
      <c r="CU114" s="28">
        <f>VLOOKUP($A114,'Gen ed tchrs'!A110:R225,18,FALSE)*CU$123</f>
        <v>1821319.2</v>
      </c>
      <c r="CV114" s="28">
        <f>'Gen ed tchrs'!Z110*CV$123/2</f>
        <v>17323.875984375001</v>
      </c>
      <c r="DB114" s="28">
        <f t="shared" si="36"/>
        <v>2707837.765984375</v>
      </c>
      <c r="DC114" s="28">
        <f t="shared" si="37"/>
        <v>1815792</v>
      </c>
      <c r="DD114" s="28">
        <f t="shared" si="47"/>
        <v>523598.9</v>
      </c>
      <c r="DE114" s="28">
        <f t="shared" si="38"/>
        <v>2339390.9</v>
      </c>
      <c r="DF114" s="6">
        <f t="shared" si="39"/>
        <v>-368446.86598437512</v>
      </c>
      <c r="DM114" s="34"/>
      <c r="DN114" s="34"/>
    </row>
    <row r="115" spans="1:139" x14ac:dyDescent="0.2">
      <c r="A115">
        <v>332</v>
      </c>
      <c r="B115" t="s">
        <v>10</v>
      </c>
      <c r="C115" t="s">
        <v>4</v>
      </c>
      <c r="D115">
        <v>6</v>
      </c>
      <c r="E115">
        <v>384</v>
      </c>
      <c r="F115">
        <v>322</v>
      </c>
      <c r="G115">
        <v>338</v>
      </c>
      <c r="H115" s="50">
        <f t="shared" si="33"/>
        <v>-16</v>
      </c>
      <c r="I115" s="4">
        <v>0.77604166666666663</v>
      </c>
      <c r="J115">
        <v>298</v>
      </c>
      <c r="K115" s="34">
        <v>198942.26</v>
      </c>
      <c r="L115" s="34">
        <v>56916.22</v>
      </c>
      <c r="M115" s="34">
        <v>0</v>
      </c>
      <c r="N115" s="34">
        <v>71961.03</v>
      </c>
      <c r="O115" s="34">
        <v>7283.7</v>
      </c>
      <c r="P115" s="34">
        <v>79024.509999999995</v>
      </c>
      <c r="Q115" s="34">
        <v>60058.83</v>
      </c>
      <c r="R115" s="34">
        <v>102374.53</v>
      </c>
      <c r="S115" s="34">
        <v>113832.45</v>
      </c>
      <c r="T115" s="34">
        <v>227664.89</v>
      </c>
      <c r="U115" s="34">
        <v>0</v>
      </c>
      <c r="V115" s="34">
        <v>227664.89</v>
      </c>
      <c r="W115" s="34">
        <v>156665.71</v>
      </c>
      <c r="X115" s="34">
        <v>111097.8</v>
      </c>
      <c r="Y115" s="34">
        <v>0</v>
      </c>
      <c r="Z115" s="34">
        <v>0</v>
      </c>
      <c r="AA115" s="34">
        <v>480826.5</v>
      </c>
      <c r="AB115" s="34">
        <v>0</v>
      </c>
      <c r="AC115" s="34">
        <v>0</v>
      </c>
      <c r="AD115" s="34">
        <v>0</v>
      </c>
      <c r="AE115" s="34">
        <v>0</v>
      </c>
      <c r="AF115" s="34">
        <v>1923306</v>
      </c>
      <c r="AG115" s="34">
        <v>126720</v>
      </c>
      <c r="AH115" s="34">
        <v>113832.45</v>
      </c>
      <c r="AI115" s="34">
        <v>227664.89</v>
      </c>
      <c r="AJ115" s="34">
        <v>569162.23</v>
      </c>
      <c r="AK115" s="34">
        <v>455329.78</v>
      </c>
      <c r="AL115" s="34">
        <v>313331.40999999997</v>
      </c>
      <c r="AM115" s="34">
        <v>0</v>
      </c>
      <c r="AN115" s="34">
        <v>0</v>
      </c>
      <c r="AO115" s="34">
        <v>119483.41</v>
      </c>
      <c r="AP115" s="34">
        <v>120057.3</v>
      </c>
      <c r="AQ115" s="34">
        <v>0</v>
      </c>
      <c r="AR115" s="34">
        <v>113832.45</v>
      </c>
      <c r="AS115" s="34">
        <v>0</v>
      </c>
      <c r="AT115" s="34">
        <v>0</v>
      </c>
      <c r="AU115" s="34">
        <v>30462.3</v>
      </c>
      <c r="AV115" s="34">
        <v>20400</v>
      </c>
      <c r="AW115" s="34">
        <v>13600</v>
      </c>
      <c r="AX115" s="34">
        <v>0</v>
      </c>
      <c r="AY115" s="34">
        <v>0</v>
      </c>
      <c r="AZ115" s="34">
        <v>20400</v>
      </c>
      <c r="BA115" s="34">
        <v>10200</v>
      </c>
      <c r="BB115" s="34">
        <v>13600</v>
      </c>
      <c r="BC115" s="34">
        <v>207813.57</v>
      </c>
      <c r="BD115" s="34">
        <v>3347.36</v>
      </c>
      <c r="BE115" s="34">
        <v>0</v>
      </c>
      <c r="BF115" s="34">
        <v>0</v>
      </c>
      <c r="BG115" s="34">
        <v>0</v>
      </c>
      <c r="BH115" s="34">
        <v>0</v>
      </c>
      <c r="BI115" s="34">
        <v>0</v>
      </c>
      <c r="BJ115" s="34">
        <v>0</v>
      </c>
      <c r="BK115" s="34">
        <v>0</v>
      </c>
      <c r="BL115" s="34">
        <v>0</v>
      </c>
      <c r="BM115" s="34">
        <v>0</v>
      </c>
      <c r="BN115" s="34">
        <v>0</v>
      </c>
      <c r="BO115" s="34">
        <v>0</v>
      </c>
      <c r="BP115" s="34">
        <v>0</v>
      </c>
      <c r="BQ115" s="34">
        <v>0</v>
      </c>
      <c r="BR115" s="34">
        <v>0</v>
      </c>
      <c r="BS115" s="34">
        <v>0</v>
      </c>
      <c r="BT115" s="34">
        <v>0</v>
      </c>
      <c r="BU115" s="34">
        <v>15325</v>
      </c>
      <c r="BV115" s="34">
        <v>0</v>
      </c>
      <c r="BW115" s="34">
        <v>0</v>
      </c>
      <c r="BX115" s="34">
        <v>0</v>
      </c>
      <c r="BY115" s="34">
        <v>0</v>
      </c>
      <c r="BZ115" s="34">
        <v>0</v>
      </c>
      <c r="CA115" s="34">
        <v>799386.19</v>
      </c>
      <c r="CB115" s="34">
        <v>172500.24</v>
      </c>
      <c r="CC115" s="34">
        <v>0</v>
      </c>
      <c r="CD115" s="34">
        <v>0</v>
      </c>
      <c r="CE115" s="34">
        <v>0</v>
      </c>
      <c r="CF115" s="34">
        <v>0</v>
      </c>
      <c r="CJ115" s="28">
        <f t="shared" si="34"/>
        <v>7284067.9000000022</v>
      </c>
      <c r="CK115" s="28">
        <v>113832</v>
      </c>
      <c r="CL115" s="28">
        <f t="shared" si="48"/>
        <v>152217.60000000001</v>
      </c>
      <c r="CM115" s="34">
        <f t="shared" si="46"/>
        <v>92387</v>
      </c>
      <c r="CN115" s="34">
        <f t="shared" si="35"/>
        <v>0</v>
      </c>
      <c r="CQ115" s="28">
        <v>113832.45</v>
      </c>
      <c r="CR115" s="28">
        <v>113832.45</v>
      </c>
      <c r="CS115" s="28">
        <v>113832.45</v>
      </c>
      <c r="CT115" s="34">
        <f>VLOOKUP($A115,'PosxSchpostCouncil 22'!$A$6:$DP$121,94,FALSE)*CT$123</f>
        <v>78332.86</v>
      </c>
      <c r="CU115" s="28">
        <f>VLOOKUP($A115,'Gen ed tchrs'!A111:R226,18,FALSE)*CU$123</f>
        <v>2048984.0999999999</v>
      </c>
      <c r="CV115" s="28">
        <f>'Gen ed tchrs'!Z111*CV$123/2</f>
        <v>72852.767999999982</v>
      </c>
      <c r="DB115" s="28">
        <f t="shared" si="36"/>
        <v>2900103.6779999998</v>
      </c>
      <c r="DC115" s="28">
        <f t="shared" si="37"/>
        <v>2404132.5</v>
      </c>
      <c r="DD115" s="28">
        <f t="shared" si="47"/>
        <v>0</v>
      </c>
      <c r="DE115" s="28">
        <f t="shared" si="38"/>
        <v>2404132.5</v>
      </c>
      <c r="DF115" s="6">
        <f t="shared" si="39"/>
        <v>-495971.17799999984</v>
      </c>
      <c r="DM115" s="34"/>
      <c r="DN115" s="34"/>
    </row>
    <row r="116" spans="1:139" x14ac:dyDescent="0.2">
      <c r="A116">
        <v>333</v>
      </c>
      <c r="B116" t="s">
        <v>9</v>
      </c>
      <c r="C116" t="s">
        <v>7</v>
      </c>
      <c r="D116">
        <v>6</v>
      </c>
      <c r="E116">
        <v>417</v>
      </c>
      <c r="F116">
        <v>417</v>
      </c>
      <c r="G116">
        <v>434</v>
      </c>
      <c r="H116" s="50">
        <f t="shared" si="33"/>
        <v>-17</v>
      </c>
      <c r="I116" s="4">
        <v>0.28537170263788969</v>
      </c>
      <c r="J116">
        <v>119</v>
      </c>
      <c r="K116" s="34">
        <v>198942.26</v>
      </c>
      <c r="L116" s="34">
        <v>0</v>
      </c>
      <c r="M116" s="34">
        <v>0</v>
      </c>
      <c r="N116" s="34">
        <v>71961.03</v>
      </c>
      <c r="O116" s="34">
        <v>6126.45</v>
      </c>
      <c r="P116" s="34">
        <v>79024.509999999995</v>
      </c>
      <c r="Q116" s="34">
        <v>60058.83</v>
      </c>
      <c r="R116" s="34">
        <v>102374.53</v>
      </c>
      <c r="S116" s="34">
        <v>113832.45</v>
      </c>
      <c r="T116" s="34">
        <v>0</v>
      </c>
      <c r="U116" s="34">
        <v>0</v>
      </c>
      <c r="V116" s="34">
        <v>0</v>
      </c>
      <c r="W116" s="34">
        <v>0</v>
      </c>
      <c r="X116" s="34">
        <v>0</v>
      </c>
      <c r="Y116" s="34">
        <v>0</v>
      </c>
      <c r="Z116" s="34">
        <v>0</v>
      </c>
      <c r="AA116" s="34">
        <v>0</v>
      </c>
      <c r="AB116" s="34">
        <v>0</v>
      </c>
      <c r="AC116" s="34">
        <v>0</v>
      </c>
      <c r="AD116" s="34">
        <v>0</v>
      </c>
      <c r="AE116" s="34">
        <v>0</v>
      </c>
      <c r="AF116" s="34">
        <v>2490741</v>
      </c>
      <c r="AG116" s="34">
        <v>135525</v>
      </c>
      <c r="AH116" s="34">
        <v>113832.45</v>
      </c>
      <c r="AI116" s="34">
        <v>227664.89</v>
      </c>
      <c r="AJ116" s="34">
        <v>341497.34</v>
      </c>
      <c r="AK116" s="34">
        <v>0</v>
      </c>
      <c r="AL116" s="34">
        <v>0</v>
      </c>
      <c r="AM116" s="34">
        <v>0</v>
      </c>
      <c r="AN116" s="34">
        <v>0</v>
      </c>
      <c r="AO116" s="34">
        <v>0</v>
      </c>
      <c r="AP116" s="34">
        <v>68092.2</v>
      </c>
      <c r="AQ116" s="34">
        <v>0</v>
      </c>
      <c r="AR116" s="34">
        <v>0</v>
      </c>
      <c r="AS116" s="34">
        <v>15936.54</v>
      </c>
      <c r="AT116" s="34">
        <v>0</v>
      </c>
      <c r="AU116" s="34">
        <v>5375.7</v>
      </c>
      <c r="AV116" s="34">
        <v>0</v>
      </c>
      <c r="AW116" s="34">
        <v>0</v>
      </c>
      <c r="AX116" s="34">
        <v>0</v>
      </c>
      <c r="AY116" s="34">
        <v>0</v>
      </c>
      <c r="AZ116" s="34">
        <v>0</v>
      </c>
      <c r="BA116" s="34">
        <v>0</v>
      </c>
      <c r="BB116" s="34">
        <v>0</v>
      </c>
      <c r="BC116" s="34">
        <v>0</v>
      </c>
      <c r="BD116" s="34">
        <v>0</v>
      </c>
      <c r="BE116" s="34">
        <v>10425</v>
      </c>
      <c r="BF116" s="34">
        <v>0</v>
      </c>
      <c r="BG116" s="34">
        <v>0</v>
      </c>
      <c r="BH116" s="34">
        <v>0</v>
      </c>
      <c r="BI116" s="34">
        <v>0</v>
      </c>
      <c r="BJ116" s="34">
        <v>0</v>
      </c>
      <c r="BK116" s="34">
        <v>0</v>
      </c>
      <c r="BL116" s="34">
        <v>0</v>
      </c>
      <c r="BM116" s="34">
        <v>0</v>
      </c>
      <c r="BN116" s="34">
        <v>0</v>
      </c>
      <c r="BO116" s="34">
        <v>0</v>
      </c>
      <c r="BP116" s="34">
        <v>0</v>
      </c>
      <c r="BQ116" s="34">
        <v>0</v>
      </c>
      <c r="BR116" s="34">
        <v>0</v>
      </c>
      <c r="BS116" s="34">
        <v>0</v>
      </c>
      <c r="BT116" s="34">
        <v>0</v>
      </c>
      <c r="BU116" s="34">
        <v>0</v>
      </c>
      <c r="BV116" s="34">
        <v>0</v>
      </c>
      <c r="BW116" s="34">
        <v>0</v>
      </c>
      <c r="BX116" s="34">
        <v>0</v>
      </c>
      <c r="BY116" s="34">
        <v>0</v>
      </c>
      <c r="BZ116" s="34">
        <v>0</v>
      </c>
      <c r="CA116" s="34">
        <v>319217.98</v>
      </c>
      <c r="CB116" s="34">
        <v>0</v>
      </c>
      <c r="CC116" s="34">
        <v>0</v>
      </c>
      <c r="CD116" s="34">
        <v>76137.37</v>
      </c>
      <c r="CE116" s="34">
        <v>550707.22</v>
      </c>
      <c r="CF116" s="34">
        <v>0</v>
      </c>
      <c r="CJ116" s="28">
        <f t="shared" si="34"/>
        <v>4987472.75</v>
      </c>
      <c r="CK116" s="28">
        <v>113832</v>
      </c>
      <c r="CL116" s="28">
        <f t="shared" si="48"/>
        <v>165298.79999999999</v>
      </c>
      <c r="CM116" s="34">
        <f t="shared" si="46"/>
        <v>92387</v>
      </c>
      <c r="CN116" s="34">
        <f t="shared" si="35"/>
        <v>51441.726618705041</v>
      </c>
      <c r="CQ116" s="28">
        <f>IF('Gen ed tchrs'!$V112&gt;37,2*113832,IF('Gen ed tchrs'!$V112&gt;25,1.5*113832,113832))</f>
        <v>113832</v>
      </c>
      <c r="CR116" s="28">
        <f>IF('Gen ed tchrs'!$V112&gt;37,2*113832,IF('Gen ed tchrs'!$V112&gt;25,1.5*113832,113832))</f>
        <v>113832</v>
      </c>
      <c r="CS116" s="28">
        <f>IF('Gen ed tchrs'!$V112&gt;39.1,3.5*113832,IF('Gen ed tchrs'!$V112&gt;33.1,3*113832,IF('Gen ed tchrs'!$V112&gt;26.1,2.5*113832,IF('Gen ed tchrs'!$V112&gt;20.1,2*113832,IF('Gen ed tchrs'!$V112&gt;13.1,1.5*113832,113832)))))</f>
        <v>227664</v>
      </c>
      <c r="CT116" s="34">
        <f>VLOOKUP($A116,'PosxSchpostCouncil 22'!$A$6:$DP$121,94,FALSE)*CT$123</f>
        <v>0</v>
      </c>
      <c r="CU116" s="28">
        <f>VLOOKUP($A116,'Gen ed tchrs'!A112:R227,18,FALSE)*CU$123</f>
        <v>2390481.4499999997</v>
      </c>
      <c r="CV116" s="28">
        <f>'Gen ed tchrs'!Z112*CV$123/2</f>
        <v>69331.076578125008</v>
      </c>
      <c r="DB116" s="28">
        <f t="shared" si="36"/>
        <v>3338100.0531968297</v>
      </c>
      <c r="DC116" s="28">
        <f t="shared" si="37"/>
        <v>2490741</v>
      </c>
      <c r="DD116" s="28">
        <f t="shared" si="47"/>
        <v>626844.59</v>
      </c>
      <c r="DE116" s="28">
        <f t="shared" si="38"/>
        <v>3117585.59</v>
      </c>
      <c r="DF116" s="6">
        <f t="shared" si="39"/>
        <v>-220514.46319682989</v>
      </c>
      <c r="DM116" s="34"/>
      <c r="DN116" s="34"/>
    </row>
    <row r="117" spans="1:139" x14ac:dyDescent="0.2">
      <c r="A117">
        <v>336</v>
      </c>
      <c r="B117" t="s">
        <v>8</v>
      </c>
      <c r="C117" t="s">
        <v>7</v>
      </c>
      <c r="D117">
        <v>4</v>
      </c>
      <c r="E117">
        <v>401</v>
      </c>
      <c r="F117">
        <v>303</v>
      </c>
      <c r="G117">
        <v>262</v>
      </c>
      <c r="H117" s="50">
        <f t="shared" si="33"/>
        <v>41</v>
      </c>
      <c r="I117" s="4">
        <v>0.38902743142144636</v>
      </c>
      <c r="J117">
        <v>156</v>
      </c>
      <c r="K117" s="34">
        <v>198942.26</v>
      </c>
      <c r="L117" s="34">
        <v>0</v>
      </c>
      <c r="M117" s="34">
        <v>0</v>
      </c>
      <c r="N117" s="34">
        <v>71961.03</v>
      </c>
      <c r="O117" s="34">
        <v>7025.45</v>
      </c>
      <c r="P117" s="34">
        <v>79024.509999999995</v>
      </c>
      <c r="Q117" s="34">
        <v>60058.83</v>
      </c>
      <c r="R117" s="34">
        <v>102374.53</v>
      </c>
      <c r="S117" s="34">
        <v>113832.45</v>
      </c>
      <c r="T117" s="34">
        <v>341497.34</v>
      </c>
      <c r="U117" s="34">
        <v>0</v>
      </c>
      <c r="V117" s="34">
        <v>341497.34</v>
      </c>
      <c r="W117" s="34">
        <v>234998.56</v>
      </c>
      <c r="X117" s="34">
        <v>175606.2</v>
      </c>
      <c r="Y117" s="34">
        <v>0</v>
      </c>
      <c r="Z117" s="34">
        <v>0</v>
      </c>
      <c r="AA117" s="34">
        <v>0</v>
      </c>
      <c r="AB117" s="34">
        <v>0</v>
      </c>
      <c r="AC117" s="34">
        <v>0</v>
      </c>
      <c r="AD117" s="34">
        <v>0</v>
      </c>
      <c r="AE117" s="34">
        <v>0</v>
      </c>
      <c r="AF117" s="34">
        <v>1809819</v>
      </c>
      <c r="AG117" s="34">
        <v>130325</v>
      </c>
      <c r="AH117" s="34">
        <v>113832.45</v>
      </c>
      <c r="AI117" s="34">
        <v>227664.89</v>
      </c>
      <c r="AJ117" s="34">
        <v>341497.34</v>
      </c>
      <c r="AK117" s="34">
        <v>455329.78</v>
      </c>
      <c r="AL117" s="34">
        <v>234998.56</v>
      </c>
      <c r="AM117" s="34">
        <v>0</v>
      </c>
      <c r="AN117" s="34">
        <v>0</v>
      </c>
      <c r="AO117" s="34">
        <v>0</v>
      </c>
      <c r="AP117" s="34">
        <v>98554.5</v>
      </c>
      <c r="AQ117" s="34">
        <v>0</v>
      </c>
      <c r="AR117" s="34">
        <v>398413.56</v>
      </c>
      <c r="AS117" s="34">
        <v>0</v>
      </c>
      <c r="AT117" s="34">
        <v>0</v>
      </c>
      <c r="AU117" s="34">
        <v>125433</v>
      </c>
      <c r="AV117" s="34">
        <v>20400</v>
      </c>
      <c r="AW117" s="34">
        <v>13600</v>
      </c>
      <c r="AX117" s="34">
        <v>0</v>
      </c>
      <c r="AY117" s="34">
        <v>0</v>
      </c>
      <c r="AZ117" s="34">
        <v>27200</v>
      </c>
      <c r="BA117" s="34">
        <v>10200</v>
      </c>
      <c r="BB117" s="34">
        <v>20400</v>
      </c>
      <c r="BC117" s="34">
        <v>93516.11</v>
      </c>
      <c r="BD117" s="34">
        <v>1506.31</v>
      </c>
      <c r="BE117" s="34">
        <v>0</v>
      </c>
      <c r="BF117" s="34">
        <v>0</v>
      </c>
      <c r="BG117" s="34">
        <v>0</v>
      </c>
      <c r="BH117" s="34">
        <v>0</v>
      </c>
      <c r="BI117" s="34">
        <v>0</v>
      </c>
      <c r="BJ117" s="34">
        <v>0</v>
      </c>
      <c r="BK117" s="34">
        <v>0</v>
      </c>
      <c r="BL117" s="34">
        <v>0</v>
      </c>
      <c r="BM117" s="34">
        <v>0</v>
      </c>
      <c r="BN117" s="34">
        <v>0</v>
      </c>
      <c r="BO117" s="34">
        <v>0</v>
      </c>
      <c r="BP117" s="34">
        <v>0</v>
      </c>
      <c r="BQ117" s="34">
        <v>0</v>
      </c>
      <c r="BR117" s="34">
        <v>0</v>
      </c>
      <c r="BS117" s="34">
        <v>0</v>
      </c>
      <c r="BT117" s="34">
        <v>0</v>
      </c>
      <c r="BU117" s="34">
        <v>15325</v>
      </c>
      <c r="BV117" s="34">
        <v>0</v>
      </c>
      <c r="BW117" s="34">
        <v>0</v>
      </c>
      <c r="BX117" s="34">
        <v>0</v>
      </c>
      <c r="BY117" s="34">
        <v>0</v>
      </c>
      <c r="BZ117" s="34">
        <v>0</v>
      </c>
      <c r="CA117" s="34">
        <v>418470.62</v>
      </c>
      <c r="CB117" s="34">
        <v>0</v>
      </c>
      <c r="CC117" s="34">
        <v>0</v>
      </c>
      <c r="CD117" s="34">
        <v>0</v>
      </c>
      <c r="CE117" s="34">
        <v>222508.74</v>
      </c>
      <c r="CF117" s="34">
        <v>0</v>
      </c>
      <c r="CJ117" s="28">
        <f t="shared" si="34"/>
        <v>6505813.3600000003</v>
      </c>
      <c r="CK117" s="28">
        <v>113832</v>
      </c>
      <c r="CL117" s="28">
        <f t="shared" si="48"/>
        <v>158956.4</v>
      </c>
      <c r="CM117" s="34">
        <f t="shared" si="46"/>
        <v>92387</v>
      </c>
      <c r="CN117" s="34">
        <f t="shared" si="35"/>
        <v>53494.26433915212</v>
      </c>
      <c r="CQ117" s="28">
        <f>IF('Gen ed tchrs'!$V113&gt;37,2*113832,IF('Gen ed tchrs'!$V113&gt;25,1.5*113832,113832))</f>
        <v>113832</v>
      </c>
      <c r="CR117" s="28">
        <f>IF('Gen ed tchrs'!$V113&gt;37,2*113832,IF('Gen ed tchrs'!$V113&gt;25,1.5*113832,113832))</f>
        <v>113832</v>
      </c>
      <c r="CS117" s="28">
        <f>IF('Gen ed tchrs'!$V113&gt;39.1,3.5*113832,IF('Gen ed tchrs'!$V113&gt;33.1,3*113832,IF('Gen ed tchrs'!$V113&gt;26.1,2.5*113832,IF('Gen ed tchrs'!$V113&gt;20.1,2*113832,IF('Gen ed tchrs'!$V113&gt;13.1,1.5*113832,113832)))))</f>
        <v>227664</v>
      </c>
      <c r="CT117" s="34">
        <f>VLOOKUP($A117,'PosxSchpostCouncil 22'!$A$6:$DP$121,94,FALSE)*CT$123</f>
        <v>117499.29000000001</v>
      </c>
      <c r="CU117" s="28">
        <f>VLOOKUP($A117,'Gen ed tchrs'!A113:R228,18,FALSE)*CU$123</f>
        <v>1821319.2</v>
      </c>
      <c r="CV117" s="28">
        <f>'Gen ed tchrs'!Z113*CV$123/2</f>
        <v>14122.338328124995</v>
      </c>
      <c r="DB117" s="28">
        <f t="shared" si="36"/>
        <v>2826938.4926672773</v>
      </c>
      <c r="DC117" s="28">
        <f t="shared" si="37"/>
        <v>1809819</v>
      </c>
      <c r="DD117" s="28">
        <f t="shared" si="47"/>
        <v>222508.74</v>
      </c>
      <c r="DE117" s="28">
        <f t="shared" si="38"/>
        <v>2032327.74</v>
      </c>
      <c r="DF117" s="6">
        <f t="shared" si="39"/>
        <v>-794610.75266727735</v>
      </c>
      <c r="DM117" s="34"/>
      <c r="DN117" s="34"/>
    </row>
    <row r="118" spans="1:139" x14ac:dyDescent="0.2">
      <c r="A118">
        <v>335</v>
      </c>
      <c r="B118" t="s">
        <v>6</v>
      </c>
      <c r="C118" t="s">
        <v>4</v>
      </c>
      <c r="D118">
        <v>5</v>
      </c>
      <c r="E118">
        <v>355</v>
      </c>
      <c r="F118">
        <v>289</v>
      </c>
      <c r="G118">
        <v>256</v>
      </c>
      <c r="H118" s="50">
        <f t="shared" si="33"/>
        <v>33</v>
      </c>
      <c r="I118" s="4">
        <v>0.72394366197183102</v>
      </c>
      <c r="J118">
        <v>257</v>
      </c>
      <c r="K118" s="34">
        <v>198942.26</v>
      </c>
      <c r="L118" s="34">
        <v>56916.22</v>
      </c>
      <c r="M118" s="34">
        <v>0</v>
      </c>
      <c r="N118" s="34">
        <v>71961.03</v>
      </c>
      <c r="O118" s="34">
        <v>7194.65</v>
      </c>
      <c r="P118" s="34">
        <v>79024.509999999995</v>
      </c>
      <c r="Q118" s="34">
        <v>60058.83</v>
      </c>
      <c r="R118" s="34">
        <v>102374.53</v>
      </c>
      <c r="S118" s="34">
        <v>113832.45</v>
      </c>
      <c r="T118" s="34">
        <v>227664.89</v>
      </c>
      <c r="U118" s="34">
        <v>113832.45</v>
      </c>
      <c r="V118" s="34">
        <v>227664.89</v>
      </c>
      <c r="W118" s="34">
        <v>195832.13</v>
      </c>
      <c r="X118" s="34">
        <v>118265.4</v>
      </c>
      <c r="Y118" s="34">
        <v>0</v>
      </c>
      <c r="Z118" s="34">
        <v>0</v>
      </c>
      <c r="AA118" s="34">
        <v>431549.25</v>
      </c>
      <c r="AB118" s="34">
        <v>0</v>
      </c>
      <c r="AC118" s="34">
        <v>0</v>
      </c>
      <c r="AD118" s="34">
        <v>0</v>
      </c>
      <c r="AE118" s="34">
        <v>0</v>
      </c>
      <c r="AF118" s="34">
        <v>1726197</v>
      </c>
      <c r="AG118" s="34">
        <v>117150</v>
      </c>
      <c r="AH118" s="34">
        <v>113832.45</v>
      </c>
      <c r="AI118" s="34">
        <v>341497.34</v>
      </c>
      <c r="AJ118" s="34">
        <v>682994.68</v>
      </c>
      <c r="AK118" s="34">
        <v>341497.34</v>
      </c>
      <c r="AL118" s="34">
        <v>195832.13</v>
      </c>
      <c r="AM118" s="34">
        <v>0</v>
      </c>
      <c r="AN118" s="34">
        <v>0</v>
      </c>
      <c r="AO118" s="34">
        <v>0</v>
      </c>
      <c r="AP118" s="34">
        <v>62716.5</v>
      </c>
      <c r="AQ118" s="34">
        <v>0</v>
      </c>
      <c r="AR118" s="34">
        <v>227664.89</v>
      </c>
      <c r="AS118" s="34">
        <v>0</v>
      </c>
      <c r="AT118" s="34">
        <v>0</v>
      </c>
      <c r="AU118" s="34">
        <v>60924.6</v>
      </c>
      <c r="AV118" s="34">
        <v>13600</v>
      </c>
      <c r="AW118" s="34">
        <v>6800</v>
      </c>
      <c r="AX118" s="34">
        <v>0</v>
      </c>
      <c r="AY118" s="34">
        <v>0</v>
      </c>
      <c r="AZ118" s="34">
        <v>20400</v>
      </c>
      <c r="BA118" s="34">
        <v>10200</v>
      </c>
      <c r="BB118" s="34">
        <v>13600</v>
      </c>
      <c r="BC118" s="34">
        <v>192119.32</v>
      </c>
      <c r="BD118" s="34">
        <v>3094.57</v>
      </c>
      <c r="BE118" s="34">
        <v>0</v>
      </c>
      <c r="BF118" s="34">
        <v>0</v>
      </c>
      <c r="BG118" s="34">
        <v>0</v>
      </c>
      <c r="BH118" s="34">
        <v>0</v>
      </c>
      <c r="BI118" s="34">
        <v>0</v>
      </c>
      <c r="BJ118" s="34">
        <v>0</v>
      </c>
      <c r="BK118" s="34">
        <v>0</v>
      </c>
      <c r="BL118" s="34">
        <v>0</v>
      </c>
      <c r="BM118" s="34">
        <v>0</v>
      </c>
      <c r="BN118" s="34">
        <v>0</v>
      </c>
      <c r="BO118" s="34">
        <v>0</v>
      </c>
      <c r="BP118" s="34">
        <v>0</v>
      </c>
      <c r="BQ118" s="34">
        <v>0</v>
      </c>
      <c r="BR118" s="34">
        <v>0</v>
      </c>
      <c r="BS118" s="34">
        <v>0</v>
      </c>
      <c r="BT118" s="34">
        <v>0</v>
      </c>
      <c r="BU118" s="34">
        <v>15325</v>
      </c>
      <c r="BV118" s="34">
        <v>0</v>
      </c>
      <c r="BW118" s="34">
        <v>0</v>
      </c>
      <c r="BX118" s="34">
        <v>0</v>
      </c>
      <c r="BY118" s="34">
        <v>0</v>
      </c>
      <c r="BZ118" s="34">
        <v>0</v>
      </c>
      <c r="CA118" s="34">
        <v>689403.53</v>
      </c>
      <c r="CB118" s="34">
        <v>137379</v>
      </c>
      <c r="CC118" s="34">
        <v>0</v>
      </c>
      <c r="CD118" s="34">
        <v>0</v>
      </c>
      <c r="CE118" s="34">
        <v>0</v>
      </c>
      <c r="CF118" s="34">
        <v>0</v>
      </c>
      <c r="CJ118" s="28">
        <f t="shared" si="34"/>
        <v>6977341.8399999999</v>
      </c>
      <c r="CK118" s="28">
        <v>113832</v>
      </c>
      <c r="CL118" s="28">
        <f t="shared" si="48"/>
        <v>140722</v>
      </c>
      <c r="CM118" s="34">
        <f t="shared" si="46"/>
        <v>92387</v>
      </c>
      <c r="CN118" s="34">
        <f t="shared" si="35"/>
        <v>0</v>
      </c>
      <c r="CQ118" s="28">
        <f>IF('Gen ed tchrs'!$V114&gt;37,2*113832,IF('Gen ed tchrs'!$V114&gt;25,1.5*113832,113832))</f>
        <v>113832</v>
      </c>
      <c r="CR118" s="28">
        <f>IF('Gen ed tchrs'!$V114&gt;37,2*113832,IF('Gen ed tchrs'!$V114&gt;25,1.5*113832,113832))</f>
        <v>113832</v>
      </c>
      <c r="CS118" s="28">
        <f>1.5*$CQ$123</f>
        <v>170748.67499999999</v>
      </c>
      <c r="CT118" s="34">
        <f>VLOOKUP($A118,'PosxSchpostCouncil 22'!$A$6:$DP$121,94,FALSE)*CT$123</f>
        <v>78332.86</v>
      </c>
      <c r="CU118" s="28">
        <f>VLOOKUP($A118,'Gen ed tchrs'!A114:R229,18,FALSE)*CU$123</f>
        <v>2162816.5499999998</v>
      </c>
      <c r="CV118" s="28">
        <f>'Gen ed tchrs'!Z114*CV$123/2</f>
        <v>75947.587734375003</v>
      </c>
      <c r="DB118" s="28">
        <f t="shared" si="36"/>
        <v>3062450.6727343751</v>
      </c>
      <c r="DC118" s="28">
        <f t="shared" si="37"/>
        <v>2157746.25</v>
      </c>
      <c r="DD118" s="28">
        <f t="shared" si="47"/>
        <v>0</v>
      </c>
      <c r="DE118" s="28">
        <f t="shared" si="38"/>
        <v>2157746.25</v>
      </c>
      <c r="DF118" s="6">
        <f t="shared" si="39"/>
        <v>-904704.42273437511</v>
      </c>
      <c r="DM118" s="34"/>
      <c r="DN118" s="34"/>
    </row>
    <row r="119" spans="1:139" x14ac:dyDescent="0.2">
      <c r="A119">
        <v>338</v>
      </c>
      <c r="B119" t="s">
        <v>5</v>
      </c>
      <c r="C119" t="s">
        <v>7</v>
      </c>
      <c r="D119">
        <v>4</v>
      </c>
      <c r="E119">
        <v>346</v>
      </c>
      <c r="F119">
        <v>273</v>
      </c>
      <c r="G119">
        <v>241</v>
      </c>
      <c r="H119" s="50">
        <f t="shared" si="33"/>
        <v>32</v>
      </c>
      <c r="I119" s="4">
        <v>0.56069364161849711</v>
      </c>
      <c r="J119">
        <v>194</v>
      </c>
      <c r="K119" s="34">
        <v>198942.26</v>
      </c>
      <c r="L119" s="34">
        <v>0</v>
      </c>
      <c r="M119" s="34">
        <v>0</v>
      </c>
      <c r="N119" s="34">
        <v>71961.03</v>
      </c>
      <c r="O119" s="34">
        <v>5631.8</v>
      </c>
      <c r="P119" s="34">
        <v>79024.509999999995</v>
      </c>
      <c r="Q119" s="34">
        <v>60058.83</v>
      </c>
      <c r="R119" s="34">
        <v>102374.53</v>
      </c>
      <c r="S119" s="34">
        <v>113832.45</v>
      </c>
      <c r="T119" s="34">
        <v>227664.89</v>
      </c>
      <c r="U119" s="34">
        <v>113832.45</v>
      </c>
      <c r="V119" s="34">
        <v>227664.89</v>
      </c>
      <c r="W119" s="34">
        <v>195832.13</v>
      </c>
      <c r="X119" s="34">
        <v>130808.7</v>
      </c>
      <c r="Y119" s="34">
        <v>0</v>
      </c>
      <c r="Z119" s="34">
        <v>0</v>
      </c>
      <c r="AA119" s="34">
        <v>0</v>
      </c>
      <c r="AB119" s="34">
        <v>0</v>
      </c>
      <c r="AC119" s="34">
        <v>0</v>
      </c>
      <c r="AD119" s="34">
        <v>0</v>
      </c>
      <c r="AE119" s="34">
        <v>0</v>
      </c>
      <c r="AF119" s="34">
        <v>1630629</v>
      </c>
      <c r="AG119" s="34">
        <v>112450</v>
      </c>
      <c r="AH119" s="34">
        <v>113832.45</v>
      </c>
      <c r="AI119" s="34">
        <v>227664.89</v>
      </c>
      <c r="AJ119" s="34">
        <v>455329.78</v>
      </c>
      <c r="AK119" s="34">
        <v>682994.68</v>
      </c>
      <c r="AL119" s="34">
        <v>430830.69</v>
      </c>
      <c r="AM119" s="34">
        <v>0</v>
      </c>
      <c r="AN119" s="34">
        <v>0</v>
      </c>
      <c r="AO119" s="34">
        <v>0</v>
      </c>
      <c r="AP119" s="34">
        <v>116473.5</v>
      </c>
      <c r="AQ119" s="34">
        <v>0</v>
      </c>
      <c r="AR119" s="34">
        <v>569162.23</v>
      </c>
      <c r="AS119" s="34">
        <v>0</v>
      </c>
      <c r="AT119" s="34">
        <v>0</v>
      </c>
      <c r="AU119" s="34">
        <v>179190</v>
      </c>
      <c r="AV119" s="34">
        <v>20400</v>
      </c>
      <c r="AW119" s="34">
        <v>13600</v>
      </c>
      <c r="AX119" s="34">
        <v>0</v>
      </c>
      <c r="AY119" s="34">
        <v>0</v>
      </c>
      <c r="AZ119" s="34">
        <v>27200</v>
      </c>
      <c r="BA119" s="34">
        <v>10200</v>
      </c>
      <c r="BB119" s="34">
        <v>20400</v>
      </c>
      <c r="BC119" s="34">
        <v>138542.38</v>
      </c>
      <c r="BD119" s="34">
        <v>2231.58</v>
      </c>
      <c r="BE119" s="34">
        <v>0</v>
      </c>
      <c r="BF119" s="34">
        <v>0</v>
      </c>
      <c r="BG119" s="34">
        <v>0</v>
      </c>
      <c r="BH119" s="34">
        <v>0</v>
      </c>
      <c r="BI119" s="34">
        <v>0</v>
      </c>
      <c r="BJ119" s="34">
        <v>0</v>
      </c>
      <c r="BK119" s="34">
        <v>0</v>
      </c>
      <c r="BL119" s="34">
        <v>0</v>
      </c>
      <c r="BM119" s="34">
        <v>0</v>
      </c>
      <c r="BN119" s="34">
        <v>0</v>
      </c>
      <c r="BO119" s="34">
        <v>0</v>
      </c>
      <c r="BP119" s="34">
        <v>0</v>
      </c>
      <c r="BQ119" s="34">
        <v>0</v>
      </c>
      <c r="BR119" s="34">
        <v>0</v>
      </c>
      <c r="BS119" s="34">
        <v>0</v>
      </c>
      <c r="BT119" s="34">
        <v>0</v>
      </c>
      <c r="BU119" s="34">
        <v>15325</v>
      </c>
      <c r="BV119" s="34">
        <v>0</v>
      </c>
      <c r="BW119" s="34">
        <v>0</v>
      </c>
      <c r="BX119" s="34">
        <v>0</v>
      </c>
      <c r="BY119" s="34">
        <v>0</v>
      </c>
      <c r="BZ119" s="34">
        <v>0</v>
      </c>
      <c r="CA119" s="34">
        <v>520405.78</v>
      </c>
      <c r="CB119" s="34">
        <v>66419.759999999995</v>
      </c>
      <c r="CC119" s="34">
        <v>0</v>
      </c>
      <c r="CD119" s="34">
        <v>43462.37</v>
      </c>
      <c r="CE119" s="34">
        <v>0</v>
      </c>
      <c r="CF119" s="34">
        <v>0</v>
      </c>
      <c r="CJ119" s="28">
        <f t="shared" si="34"/>
        <v>6924372.5599999996</v>
      </c>
      <c r="CK119" s="28">
        <v>113832</v>
      </c>
      <c r="CL119" s="28">
        <f t="shared" si="48"/>
        <v>137154.4</v>
      </c>
      <c r="CM119" s="34">
        <f t="shared" si="46"/>
        <v>92387</v>
      </c>
      <c r="CN119" s="34">
        <f t="shared" si="35"/>
        <v>0</v>
      </c>
      <c r="CQ119" s="28">
        <f>IF('Gen ed tchrs'!$V115&gt;37,2*113832,IF('Gen ed tchrs'!$V115&gt;25,1.5*113832,113832))</f>
        <v>113832</v>
      </c>
      <c r="CR119" s="28">
        <f>IF('Gen ed tchrs'!$V115&gt;37,2*113832,IF('Gen ed tchrs'!$V115&gt;25,1.5*113832,113832))</f>
        <v>113832</v>
      </c>
      <c r="CS119" s="28">
        <f>IF('Gen ed tchrs'!$V115&gt;39.1,3.5*113832,IF('Gen ed tchrs'!$V115&gt;33.1,3*113832,IF('Gen ed tchrs'!$V115&gt;26.1,2.5*113832,IF('Gen ed tchrs'!$V115&gt;20.1,2*113832,IF('Gen ed tchrs'!$V115&gt;13.1,1.5*113832,113832)))))</f>
        <v>170748</v>
      </c>
      <c r="CT119" s="34">
        <f>VLOOKUP($A119,'PosxSchpostCouncil 22'!$A$6:$DP$121,94,FALSE)*CT$123</f>
        <v>78332.86</v>
      </c>
      <c r="CU119" s="28">
        <f>VLOOKUP($A119,'Gen ed tchrs'!A115:R230,18,FALSE)*CU$123</f>
        <v>1707486.75</v>
      </c>
      <c r="CV119" s="28">
        <f>'Gen ed tchrs'!Z115*CV$123/2</f>
        <v>19991.824031250002</v>
      </c>
      <c r="DB119" s="28">
        <f t="shared" si="36"/>
        <v>2547596.8340312499</v>
      </c>
      <c r="DC119" s="28">
        <f t="shared" si="37"/>
        <v>1630629</v>
      </c>
      <c r="DD119" s="28">
        <f t="shared" si="47"/>
        <v>43462.37</v>
      </c>
      <c r="DE119" s="28">
        <f t="shared" si="38"/>
        <v>1674091.37</v>
      </c>
      <c r="DF119" s="6">
        <f t="shared" si="39"/>
        <v>-873505.46403124975</v>
      </c>
      <c r="DM119" s="34"/>
      <c r="DN119" s="34"/>
    </row>
    <row r="120" spans="1:139" x14ac:dyDescent="0.2">
      <c r="A120">
        <v>463</v>
      </c>
      <c r="B120" t="s">
        <v>3</v>
      </c>
      <c r="C120" t="s">
        <v>1</v>
      </c>
      <c r="D120">
        <v>3</v>
      </c>
      <c r="E120">
        <v>2128</v>
      </c>
      <c r="F120">
        <v>2128</v>
      </c>
      <c r="G120">
        <v>2010</v>
      </c>
      <c r="H120" s="50">
        <f t="shared" si="33"/>
        <v>118</v>
      </c>
      <c r="I120" s="4">
        <v>0.25375939849624063</v>
      </c>
      <c r="J120">
        <v>540</v>
      </c>
      <c r="K120" s="34">
        <v>198942.26</v>
      </c>
      <c r="L120" s="34">
        <v>0</v>
      </c>
      <c r="M120" s="34">
        <v>1155824.3799999999</v>
      </c>
      <c r="N120" s="34">
        <v>71961.03</v>
      </c>
      <c r="O120" s="34">
        <v>31160.97</v>
      </c>
      <c r="P120" s="34">
        <v>79024.509999999995</v>
      </c>
      <c r="Q120" s="34">
        <v>60058.83</v>
      </c>
      <c r="R120" s="34">
        <v>614247.17000000004</v>
      </c>
      <c r="S120" s="34">
        <v>113832.45</v>
      </c>
      <c r="T120" s="34">
        <v>0</v>
      </c>
      <c r="U120" s="34">
        <v>0</v>
      </c>
      <c r="V120" s="34">
        <v>0</v>
      </c>
      <c r="W120" s="34">
        <v>0</v>
      </c>
      <c r="X120" s="34">
        <v>0</v>
      </c>
      <c r="Y120" s="34">
        <v>0</v>
      </c>
      <c r="Z120" s="34">
        <v>0</v>
      </c>
      <c r="AA120" s="34">
        <v>0</v>
      </c>
      <c r="AB120" s="34">
        <v>1024492.02</v>
      </c>
      <c r="AC120" s="34">
        <v>0</v>
      </c>
      <c r="AD120" s="34">
        <v>0</v>
      </c>
      <c r="AE120" s="34">
        <v>341497.34</v>
      </c>
      <c r="AF120" s="34">
        <v>12710544</v>
      </c>
      <c r="AG120" s="34">
        <v>1261904</v>
      </c>
      <c r="AH120" s="34">
        <v>227664.89</v>
      </c>
      <c r="AI120" s="34">
        <v>569162.23</v>
      </c>
      <c r="AJ120" s="34">
        <v>2048984.03</v>
      </c>
      <c r="AK120" s="34">
        <v>796827.12</v>
      </c>
      <c r="AL120" s="34">
        <v>391664.27</v>
      </c>
      <c r="AM120" s="34">
        <v>0</v>
      </c>
      <c r="AN120" s="34">
        <v>57558.06</v>
      </c>
      <c r="AO120" s="34">
        <v>0</v>
      </c>
      <c r="AP120" s="34">
        <v>426472.2</v>
      </c>
      <c r="AQ120" s="34">
        <v>0</v>
      </c>
      <c r="AR120" s="34">
        <v>910659.57</v>
      </c>
      <c r="AS120" s="34">
        <v>0</v>
      </c>
      <c r="AT120" s="34">
        <v>0</v>
      </c>
      <c r="AU120" s="34">
        <v>311790.59999999998</v>
      </c>
      <c r="AV120" s="34">
        <v>0</v>
      </c>
      <c r="AW120" s="34">
        <v>0</v>
      </c>
      <c r="AX120" s="34">
        <v>0</v>
      </c>
      <c r="AY120" s="34">
        <v>85000</v>
      </c>
      <c r="AZ120" s="34">
        <v>0</v>
      </c>
      <c r="BA120" s="34">
        <v>0</v>
      </c>
      <c r="BB120" s="34">
        <v>0</v>
      </c>
      <c r="BC120" s="34">
        <v>0</v>
      </c>
      <c r="BD120" s="34">
        <v>0</v>
      </c>
      <c r="BE120" s="34">
        <v>53200</v>
      </c>
      <c r="BF120" s="34">
        <v>0</v>
      </c>
      <c r="BG120" s="34">
        <v>0</v>
      </c>
      <c r="BH120" s="34">
        <v>0</v>
      </c>
      <c r="BI120" s="34">
        <v>0</v>
      </c>
      <c r="BJ120" s="34">
        <v>0</v>
      </c>
      <c r="BK120" s="34">
        <v>0</v>
      </c>
      <c r="BL120" s="34">
        <v>0</v>
      </c>
      <c r="BM120" s="34">
        <v>0</v>
      </c>
      <c r="BN120" s="34">
        <v>0</v>
      </c>
      <c r="BO120" s="34">
        <v>0</v>
      </c>
      <c r="BP120" s="34">
        <v>0</v>
      </c>
      <c r="BQ120" s="34">
        <v>0</v>
      </c>
      <c r="BR120" s="34">
        <v>0</v>
      </c>
      <c r="BS120" s="34">
        <v>0</v>
      </c>
      <c r="BT120" s="34">
        <v>0</v>
      </c>
      <c r="BU120" s="34">
        <v>0</v>
      </c>
      <c r="BV120" s="34">
        <v>0</v>
      </c>
      <c r="BW120" s="34">
        <v>132208</v>
      </c>
      <c r="BX120" s="34">
        <v>147878.60999999999</v>
      </c>
      <c r="BY120" s="34">
        <v>119483.41</v>
      </c>
      <c r="BZ120" s="34">
        <v>0</v>
      </c>
      <c r="CA120" s="34">
        <v>1710096.3</v>
      </c>
      <c r="CB120" s="34">
        <v>0</v>
      </c>
      <c r="CC120" s="34">
        <v>0</v>
      </c>
      <c r="CD120" s="34">
        <v>0</v>
      </c>
      <c r="CE120" s="34">
        <v>0</v>
      </c>
      <c r="CF120" s="34">
        <v>0</v>
      </c>
      <c r="CJ120" s="28">
        <f t="shared" si="34"/>
        <v>25652138.250000004</v>
      </c>
      <c r="CK120" s="28">
        <v>113832</v>
      </c>
      <c r="CL120" s="28">
        <f t="shared" ref="CL120:CL121" si="49">E120/300*CL$123</f>
        <v>1124718.9333333333</v>
      </c>
      <c r="CM120" s="34">
        <f t="shared" si="46"/>
        <v>92387</v>
      </c>
      <c r="CN120" s="34">
        <f t="shared" si="35"/>
        <v>10080.451127819548</v>
      </c>
      <c r="CO120" s="28">
        <f t="shared" ref="CO120:CP121" si="50">CO$123</f>
        <v>58500</v>
      </c>
      <c r="CP120" s="28">
        <f t="shared" si="50"/>
        <v>70673</v>
      </c>
      <c r="CU120" s="28">
        <f>VLOOKUP($A120,'Gen ed tchrs'!A116:R231,18,FALSE)*CU$123</f>
        <v>12180072.15</v>
      </c>
      <c r="CV120" s="28">
        <f>'Gen ed tchrs'!Z116*CV$123/2</f>
        <v>95619.257999999987</v>
      </c>
      <c r="CW120" s="34">
        <v>119483</v>
      </c>
      <c r="DB120" s="28">
        <f t="shared" si="36"/>
        <v>13865365.792461153</v>
      </c>
      <c r="DC120" s="28">
        <f t="shared" si="37"/>
        <v>12710544</v>
      </c>
      <c r="DD120" s="28">
        <f t="shared" si="47"/>
        <v>0</v>
      </c>
      <c r="DE120" s="28">
        <f t="shared" si="38"/>
        <v>12710544</v>
      </c>
      <c r="DF120" s="6">
        <f t="shared" si="39"/>
        <v>-1154821.7924611531</v>
      </c>
      <c r="DM120" s="34"/>
      <c r="DN120" s="34"/>
    </row>
    <row r="121" spans="1:139" x14ac:dyDescent="0.2">
      <c r="A121">
        <v>464</v>
      </c>
      <c r="B121" t="s">
        <v>2</v>
      </c>
      <c r="C121" t="s">
        <v>1</v>
      </c>
      <c r="D121">
        <v>7</v>
      </c>
      <c r="E121">
        <v>506</v>
      </c>
      <c r="F121">
        <v>506</v>
      </c>
      <c r="G121">
        <v>487</v>
      </c>
      <c r="H121" s="50">
        <f t="shared" si="33"/>
        <v>19</v>
      </c>
      <c r="I121" s="4">
        <v>0.73320158102766797</v>
      </c>
      <c r="J121">
        <v>371</v>
      </c>
      <c r="K121" s="34">
        <v>198942.26</v>
      </c>
      <c r="L121" s="34">
        <v>0</v>
      </c>
      <c r="M121" s="34">
        <v>321062.33</v>
      </c>
      <c r="N121" s="34">
        <v>71961.03</v>
      </c>
      <c r="O121" s="34">
        <v>22922.81</v>
      </c>
      <c r="P121" s="34">
        <v>79024.509999999995</v>
      </c>
      <c r="Q121" s="34">
        <v>60058.83</v>
      </c>
      <c r="R121" s="34">
        <v>358310.85</v>
      </c>
      <c r="S121" s="34">
        <v>113832.45</v>
      </c>
      <c r="T121" s="34">
        <v>0</v>
      </c>
      <c r="U121" s="34">
        <v>0</v>
      </c>
      <c r="V121" s="34">
        <v>0</v>
      </c>
      <c r="W121" s="34">
        <v>0</v>
      </c>
      <c r="X121" s="34">
        <v>0</v>
      </c>
      <c r="Y121" s="34">
        <v>0</v>
      </c>
      <c r="Z121" s="34">
        <v>0</v>
      </c>
      <c r="AA121" s="34">
        <v>0</v>
      </c>
      <c r="AB121" s="34">
        <v>569162.23</v>
      </c>
      <c r="AC121" s="34">
        <v>0</v>
      </c>
      <c r="AD121" s="34">
        <v>104263.14</v>
      </c>
      <c r="AE121" s="34">
        <v>113832.45</v>
      </c>
      <c r="AF121" s="34">
        <v>3022338</v>
      </c>
      <c r="AG121" s="34">
        <v>300058</v>
      </c>
      <c r="AH121" s="34">
        <v>227664.89</v>
      </c>
      <c r="AI121" s="34">
        <v>455329.78</v>
      </c>
      <c r="AJ121" s="34">
        <v>910659.57</v>
      </c>
      <c r="AK121" s="34">
        <v>1024492.02</v>
      </c>
      <c r="AL121" s="34">
        <v>430830.69</v>
      </c>
      <c r="AM121" s="34">
        <v>0</v>
      </c>
      <c r="AN121" s="34">
        <v>115116.11</v>
      </c>
      <c r="AO121" s="34">
        <v>0</v>
      </c>
      <c r="AP121" s="34">
        <v>234738.9</v>
      </c>
      <c r="AQ121" s="34">
        <v>0</v>
      </c>
      <c r="AR121" s="34">
        <v>113832.45</v>
      </c>
      <c r="AS121" s="34">
        <v>0</v>
      </c>
      <c r="AT121" s="34">
        <v>0</v>
      </c>
      <c r="AU121" s="34">
        <v>19710.900000000001</v>
      </c>
      <c r="AV121" s="34">
        <v>0</v>
      </c>
      <c r="AW121" s="34">
        <v>0</v>
      </c>
      <c r="AX121" s="34">
        <v>0</v>
      </c>
      <c r="AY121" s="34">
        <v>60000</v>
      </c>
      <c r="AZ121" s="34">
        <v>0</v>
      </c>
      <c r="BA121" s="34">
        <v>0</v>
      </c>
      <c r="BB121" s="34">
        <v>0</v>
      </c>
      <c r="BC121" s="34">
        <v>270157.64</v>
      </c>
      <c r="BD121" s="34">
        <v>4351.57</v>
      </c>
      <c r="BE121" s="34">
        <v>0</v>
      </c>
      <c r="BF121" s="34">
        <v>0</v>
      </c>
      <c r="BG121" s="34">
        <v>158559.82</v>
      </c>
      <c r="BH121" s="34">
        <v>26216.09</v>
      </c>
      <c r="BI121" s="34">
        <v>9000</v>
      </c>
      <c r="BJ121" s="34">
        <v>17200</v>
      </c>
      <c r="BK121" s="34">
        <v>0</v>
      </c>
      <c r="BL121" s="34">
        <v>0</v>
      </c>
      <c r="BM121" s="34">
        <v>0</v>
      </c>
      <c r="BN121" s="34">
        <v>0</v>
      </c>
      <c r="BO121" s="34">
        <v>0</v>
      </c>
      <c r="BP121" s="34">
        <v>0</v>
      </c>
      <c r="BQ121" s="34">
        <v>113832.45</v>
      </c>
      <c r="BR121" s="34">
        <v>0</v>
      </c>
      <c r="BS121" s="34">
        <v>140941</v>
      </c>
      <c r="BT121" s="34">
        <v>5000</v>
      </c>
      <c r="BU121" s="34">
        <v>0</v>
      </c>
      <c r="BV121" s="34">
        <v>0</v>
      </c>
      <c r="BW121" s="34">
        <v>0</v>
      </c>
      <c r="BX121" s="34">
        <v>443635.82</v>
      </c>
      <c r="BY121" s="34">
        <v>238966.82</v>
      </c>
      <c r="BZ121" s="34">
        <v>0</v>
      </c>
      <c r="CA121" s="34">
        <v>1109215.3999999999</v>
      </c>
      <c r="CB121" s="34">
        <v>221478.84</v>
      </c>
      <c r="CC121" s="34">
        <v>0</v>
      </c>
      <c r="CD121" s="34">
        <v>0</v>
      </c>
      <c r="CE121" s="34">
        <v>0</v>
      </c>
      <c r="CF121" s="34">
        <v>0</v>
      </c>
      <c r="CJ121" s="28">
        <f t="shared" si="34"/>
        <v>11686699.650000002</v>
      </c>
      <c r="CK121" s="28">
        <v>113832</v>
      </c>
      <c r="CL121" s="28">
        <f t="shared" si="49"/>
        <v>267437.8666666667</v>
      </c>
      <c r="CM121" s="34">
        <f t="shared" si="46"/>
        <v>92387</v>
      </c>
      <c r="CN121" s="34">
        <f t="shared" si="35"/>
        <v>42393.675889328064</v>
      </c>
      <c r="CO121" s="28">
        <f t="shared" si="50"/>
        <v>58500</v>
      </c>
      <c r="CP121" s="28">
        <f t="shared" si="50"/>
        <v>70673</v>
      </c>
      <c r="CU121" s="28">
        <f>VLOOKUP($A121,'Gen ed tchrs'!A117:R232,18,FALSE)*CU$123</f>
        <v>3414973.5</v>
      </c>
      <c r="CV121" s="28">
        <f>'Gen ed tchrs'!Z117*CV$123/2</f>
        <v>98749.650374999997</v>
      </c>
      <c r="CW121" s="34">
        <v>119483</v>
      </c>
      <c r="DB121" s="28">
        <f t="shared" si="36"/>
        <v>4278429.6929309946</v>
      </c>
      <c r="DC121" s="28">
        <f t="shared" si="37"/>
        <v>3022338</v>
      </c>
      <c r="DD121" s="28">
        <f t="shared" si="47"/>
        <v>0</v>
      </c>
      <c r="DE121" s="28">
        <f t="shared" si="38"/>
        <v>3022338</v>
      </c>
      <c r="DF121" s="6">
        <f t="shared" si="39"/>
        <v>-1256091.6929309946</v>
      </c>
      <c r="DM121" s="34"/>
      <c r="DN121" s="34"/>
    </row>
    <row r="122" spans="1:139" x14ac:dyDescent="0.2">
      <c r="B122" t="s">
        <v>0</v>
      </c>
      <c r="E122">
        <f>SUM(E6:E121)</f>
        <v>50499</v>
      </c>
      <c r="F122">
        <f t="shared" ref="F122:G122" si="51">SUM(F6:F121)</f>
        <v>44666</v>
      </c>
      <c r="G122">
        <f t="shared" si="51"/>
        <v>45407</v>
      </c>
      <c r="H122" s="50">
        <f t="shared" si="33"/>
        <v>-741</v>
      </c>
      <c r="I122" s="4"/>
      <c r="J122">
        <f t="shared" ref="J122" si="52">SUM(J6:J121)</f>
        <v>23707</v>
      </c>
      <c r="K122" s="28">
        <f>SUM(K6:K121)</f>
        <v>22480475.380000032</v>
      </c>
      <c r="L122" s="28">
        <f t="shared" ref="L122:AG122" si="53">SUM(L6:L121)</f>
        <v>3016559.8400000008</v>
      </c>
      <c r="M122" s="28">
        <f t="shared" si="53"/>
        <v>7127583.6799999997</v>
      </c>
      <c r="N122" s="28">
        <f t="shared" si="53"/>
        <v>8347479.4800000098</v>
      </c>
      <c r="O122" s="28">
        <f t="shared" si="53"/>
        <v>1070685.5300000003</v>
      </c>
      <c r="P122" s="28">
        <f t="shared" si="53"/>
        <v>9245867.6699999813</v>
      </c>
      <c r="Q122" s="28">
        <f t="shared" si="53"/>
        <v>6966824.2800000068</v>
      </c>
      <c r="R122" s="28">
        <f t="shared" si="53"/>
        <v>17864355.149999976</v>
      </c>
      <c r="S122" s="28">
        <f t="shared" si="53"/>
        <v>13432229.079999978</v>
      </c>
      <c r="T122" s="28">
        <f t="shared" si="53"/>
        <v>15481212.630000005</v>
      </c>
      <c r="U122" s="28">
        <f t="shared" si="53"/>
        <v>8992763.3100000005</v>
      </c>
      <c r="V122" s="28">
        <f t="shared" si="53"/>
        <v>18782353.570000004</v>
      </c>
      <c r="W122" s="28">
        <f t="shared" si="53"/>
        <v>14883242.100000015</v>
      </c>
      <c r="X122" s="28">
        <f t="shared" si="53"/>
        <v>10452152.699999999</v>
      </c>
      <c r="Y122" s="28">
        <f t="shared" si="53"/>
        <v>380778.75</v>
      </c>
      <c r="Z122" s="28">
        <f t="shared" si="53"/>
        <v>335085.3</v>
      </c>
      <c r="AA122" s="28">
        <f t="shared" si="53"/>
        <v>4767947.25</v>
      </c>
      <c r="AB122" s="28">
        <f t="shared" si="53"/>
        <v>7057611.6799999997</v>
      </c>
      <c r="AC122" s="28">
        <f t="shared" si="53"/>
        <v>859099</v>
      </c>
      <c r="AD122" s="28">
        <f t="shared" si="53"/>
        <v>208526.28</v>
      </c>
      <c r="AE122" s="28">
        <f t="shared" si="53"/>
        <v>2390481.3600000003</v>
      </c>
      <c r="AF122" s="28">
        <f t="shared" si="53"/>
        <v>266790018</v>
      </c>
      <c r="AG122" s="28">
        <f t="shared" si="53"/>
        <v>20449995</v>
      </c>
      <c r="AH122" s="28">
        <f t="shared" ref="AH122" si="54">SUM(AH6:AH121)</f>
        <v>14855134.589999974</v>
      </c>
      <c r="AI122" s="28">
        <f t="shared" ref="AI122" si="55">SUM(AI6:AI121)</f>
        <v>28173530.450000003</v>
      </c>
      <c r="AJ122" s="28">
        <f t="shared" ref="AJ122" si="56">SUM(AJ6:AJ121)</f>
        <v>62494012.970000088</v>
      </c>
      <c r="AK122" s="28">
        <f t="shared" ref="AK122" si="57">SUM(AK6:AK121)</f>
        <v>40524350.780000031</v>
      </c>
      <c r="AL122" s="28">
        <f t="shared" ref="AL122" si="58">SUM(AL6:AL121)</f>
        <v>20327375.460000008</v>
      </c>
      <c r="AM122" s="28">
        <f>SUM(AM6:AM121)</f>
        <v>1048434.09</v>
      </c>
      <c r="AN122" s="28">
        <f t="shared" ref="AN122" si="59">SUM(AN6:AN121)</f>
        <v>2129648.1400000011</v>
      </c>
      <c r="AO122" s="28">
        <f t="shared" ref="AO122" si="60">SUM(AO6:AO121)</f>
        <v>716900.46000000008</v>
      </c>
      <c r="AP122" s="28">
        <f t="shared" ref="AP122" si="61">SUM(AP6:AP121)</f>
        <v>14179304.699999997</v>
      </c>
      <c r="AQ122" s="28">
        <f t="shared" ref="AQ122" si="62">SUM(AQ6:AQ121)</f>
        <v>284912.09999999998</v>
      </c>
      <c r="AR122" s="28">
        <f t="shared" ref="AR122" si="63">SUM(AR6:AR121)</f>
        <v>45589894.770000018</v>
      </c>
      <c r="AS122" s="28">
        <f t="shared" ref="AS122" si="64">SUM(AS6:AS121)</f>
        <v>676164.68</v>
      </c>
      <c r="AT122" s="28">
        <f t="shared" ref="AT122" si="65">SUM(AT6:AT121)</f>
        <v>939994.26000000024</v>
      </c>
      <c r="AU122" s="28">
        <f t="shared" ref="AU122" si="66">SUM(AU6:AU121)</f>
        <v>15039416.700000009</v>
      </c>
      <c r="AV122" s="28">
        <f t="shared" ref="AV122" si="67">SUM(AV6:AV121)</f>
        <v>1128800</v>
      </c>
      <c r="AW122" s="28">
        <f t="shared" ref="AW122" si="68">SUM(AW6:AW121)</f>
        <v>1026800</v>
      </c>
      <c r="AX122" s="28">
        <f t="shared" ref="AX122" si="69">SUM(AX6:AX121)</f>
        <v>367200</v>
      </c>
      <c r="AY122" s="28">
        <f t="shared" ref="AY122" si="70">SUM(AY6:AY121)</f>
        <v>1030000</v>
      </c>
      <c r="AZ122" s="28">
        <f t="shared" ref="AZ122" si="71">SUM(AZ6:AZ121)</f>
        <v>1298800</v>
      </c>
      <c r="BA122" s="28">
        <f t="shared" ref="BA122" si="72">SUM(BA6:BA121)</f>
        <v>193800</v>
      </c>
      <c r="BB122" s="28">
        <f t="shared" ref="BB122" si="73">SUM(BB6:BB121)</f>
        <v>1176400</v>
      </c>
      <c r="BC122" s="28">
        <f t="shared" ref="BC122" si="74">SUM(BC6:BC121)</f>
        <v>14234039.090000004</v>
      </c>
      <c r="BD122" s="28">
        <f t="shared" ref="BD122" si="75">SUM(BD6:BD121)</f>
        <v>226499.71</v>
      </c>
      <c r="BE122" s="28">
        <f t="shared" ref="BE122" si="76">SUM(BE6:BE121)</f>
        <v>402100</v>
      </c>
      <c r="BF122" s="28">
        <f t="shared" ref="BF122" si="77">SUM(BF6:BF121)</f>
        <v>682994.7</v>
      </c>
      <c r="BG122" s="28">
        <f t="shared" ref="BG122" si="78">SUM(BG6:BG121)</f>
        <v>1427038.3800000004</v>
      </c>
      <c r="BH122" s="28">
        <f t="shared" ref="BH122" si="79">SUM(BH6:BH121)</f>
        <v>159214.81</v>
      </c>
      <c r="BI122" s="28">
        <f t="shared" ref="BI122" si="80">SUM(BI6:BI121)</f>
        <v>157730</v>
      </c>
      <c r="BJ122" s="28">
        <f t="shared" ref="BJ122" si="81">SUM(BJ6:BJ121)</f>
        <v>320000</v>
      </c>
      <c r="BK122" s="28">
        <f t="shared" ref="BK122" si="82">SUM(BK6:BK121)</f>
        <v>836383.87000000011</v>
      </c>
      <c r="BL122" s="28">
        <f t="shared" ref="BL122" si="83">SUM(BL6:BL121)</f>
        <v>158908</v>
      </c>
      <c r="BM122" s="28">
        <f t="shared" ref="BM122" si="84">SUM(BM6:BM121)</f>
        <v>358450.23</v>
      </c>
      <c r="BN122" s="28">
        <f t="shared" ref="BN122" si="85">SUM(BN6:BN121)</f>
        <v>9000</v>
      </c>
      <c r="BO122" s="28">
        <f t="shared" ref="BO122" si="86">SUM(BO6:BO121)</f>
        <v>147878.60999999999</v>
      </c>
      <c r="BP122" s="28">
        <f t="shared" ref="BP122" si="87">SUM(BP6:BP121)</f>
        <v>1558627</v>
      </c>
      <c r="BQ122" s="28">
        <f t="shared" ref="BQ122" si="88">SUM(BQ6:BQ121)</f>
        <v>682994.7</v>
      </c>
      <c r="BR122" s="28">
        <f t="shared" ref="BR122" si="89">SUM(BR6:BR121)</f>
        <v>74970.559999999998</v>
      </c>
      <c r="BS122" s="28">
        <f t="shared" ref="BS122" si="90">SUM(BS6:BS121)</f>
        <v>802305</v>
      </c>
      <c r="BT122" s="28">
        <f t="shared" ref="BT122" si="91">SUM(BT6:BT121)</f>
        <v>30000</v>
      </c>
      <c r="BU122" s="28">
        <f t="shared" ref="BU122" si="92">SUM(BU6:BU121)</f>
        <v>613000</v>
      </c>
      <c r="BV122" s="28">
        <f t="shared" ref="BV122" si="93">SUM(BV6:BV121)</f>
        <v>7199537.9800000004</v>
      </c>
      <c r="BW122" s="28">
        <f t="shared" ref="BW122" si="94">SUM(BW6:BW121)</f>
        <v>2054708</v>
      </c>
      <c r="BX122" s="28">
        <f t="shared" ref="BX122" si="95">SUM(BX6:BX121)</f>
        <v>2957572.1499999994</v>
      </c>
      <c r="BY122" s="28">
        <f t="shared" ref="BY122" si="96">SUM(BY6:BY121)</f>
        <v>836383.87000000011</v>
      </c>
      <c r="BZ122" s="28">
        <f t="shared" ref="BZ122" si="97">SUM(BZ6:BZ121)</f>
        <v>131776.46</v>
      </c>
      <c r="CA122" s="28">
        <f t="shared" ref="CA122" si="98">SUM(CA6:CA121)</f>
        <v>66104275.470000006</v>
      </c>
      <c r="CB122" s="28">
        <f t="shared" ref="CB122" si="99">SUM(CB6:CB121)</f>
        <v>9757492.8000000026</v>
      </c>
      <c r="CC122" s="28">
        <f t="shared" ref="CC122" si="100">SUM(CC6:CC121)</f>
        <v>13564857.819999997</v>
      </c>
      <c r="CD122" s="28">
        <f t="shared" ref="CD122" si="101">SUM(CD6:CD121)</f>
        <v>9559089.1799999978</v>
      </c>
      <c r="CE122" s="28">
        <f t="shared" ref="CE122" si="102">SUM(CE6:CE121)</f>
        <v>11982756.629999999</v>
      </c>
      <c r="CF122" s="28">
        <f t="shared" ref="CF122" si="103">SUM(CF6:CF121)</f>
        <v>9464334.5199999977</v>
      </c>
      <c r="CJ122" s="28">
        <f t="shared" ref="CJ122" si="104">SUM(CJ6:CJ121)</f>
        <v>871079120.71000028</v>
      </c>
      <c r="CK122" s="28">
        <f>SUM(CK6:CK121)</f>
        <v>13204512</v>
      </c>
      <c r="CL122" s="28">
        <f>SUM(CL6:CL121)</f>
        <v>20230274</v>
      </c>
      <c r="CM122" s="28">
        <f t="shared" ref="CM122:CW122" si="105">SUM(CM6:CM121)</f>
        <v>9192506.5</v>
      </c>
      <c r="CN122" s="28">
        <f t="shared" si="105"/>
        <v>2039586.6400108426</v>
      </c>
      <c r="CO122" s="28">
        <f t="shared" si="105"/>
        <v>1170000</v>
      </c>
      <c r="CP122" s="28">
        <f t="shared" si="105"/>
        <v>1413460</v>
      </c>
      <c r="CQ122" s="28">
        <f t="shared" si="105"/>
        <v>10187966.699999999</v>
      </c>
      <c r="CR122" s="28">
        <f t="shared" si="105"/>
        <v>10187966.699999999</v>
      </c>
      <c r="CS122" s="28">
        <f t="shared" si="105"/>
        <v>15879568.949999999</v>
      </c>
      <c r="CT122" s="28">
        <f t="shared" si="105"/>
        <v>8420782.450000003</v>
      </c>
      <c r="CU122" s="28">
        <f t="shared" si="105"/>
        <v>274336204.5</v>
      </c>
      <c r="CV122" s="28">
        <f t="shared" si="105"/>
        <v>7644382.6071093734</v>
      </c>
      <c r="CW122" s="28">
        <f t="shared" si="105"/>
        <v>1911728</v>
      </c>
      <c r="DB122" s="28">
        <f>SUM(DB6:DB121)</f>
        <v>375818939.04712009</v>
      </c>
      <c r="DC122" s="28">
        <f>SUM(DC6:DC121)</f>
        <v>278757503.23000002</v>
      </c>
      <c r="DD122" s="28">
        <f>SUM(DD6:DD121)</f>
        <v>44571038.150000013</v>
      </c>
      <c r="DE122" s="28">
        <f>SUM(DE6:DE121)</f>
        <v>323328541.38</v>
      </c>
      <c r="DF122" s="6">
        <f>SUMIF(DF$6:DF$121,"&lt;0",DF$6:DF$121)</f>
        <v>-62418917.978402779</v>
      </c>
      <c r="DH122" s="28">
        <f t="shared" ref="DH122" si="106">SUM(DH6:DH121)</f>
        <v>0</v>
      </c>
      <c r="EH122" s="28">
        <f t="shared" ref="EH122" si="107">SUM(EH6:EH121)</f>
        <v>0</v>
      </c>
      <c r="EI122" s="28">
        <f t="shared" ref="EI122" si="108">SUM(EI6:EI121)</f>
        <v>0</v>
      </c>
    </row>
    <row r="123" spans="1:139" s="34" customFormat="1" x14ac:dyDescent="0.2">
      <c r="K123" s="34">
        <v>198942.26</v>
      </c>
      <c r="L123" s="34">
        <v>113832.45</v>
      </c>
      <c r="M123" s="34">
        <v>128425</v>
      </c>
      <c r="N123" s="34">
        <v>71961.03</v>
      </c>
      <c r="P123" s="34">
        <v>79024.509999999995</v>
      </c>
      <c r="Q123" s="34">
        <v>60058.83</v>
      </c>
      <c r="R123" s="34">
        <v>51187.26</v>
      </c>
      <c r="S123" s="34">
        <v>113832.45</v>
      </c>
      <c r="T123" s="34">
        <v>113832.45</v>
      </c>
      <c r="U123" s="34">
        <v>113832.45</v>
      </c>
      <c r="V123" s="34">
        <v>113832.45</v>
      </c>
      <c r="W123" s="34">
        <v>39166.43</v>
      </c>
      <c r="AC123" s="34">
        <v>113832.45</v>
      </c>
      <c r="AD123" s="34">
        <v>113832.45</v>
      </c>
      <c r="AH123" s="34">
        <v>113832.45</v>
      </c>
      <c r="AI123" s="34">
        <v>113832.45</v>
      </c>
      <c r="AJ123" s="34">
        <v>113832.45</v>
      </c>
      <c r="AK123" s="34">
        <v>113832.45</v>
      </c>
      <c r="AL123" s="34">
        <v>39166.43</v>
      </c>
      <c r="AM123" s="34">
        <v>45584.090869565218</v>
      </c>
      <c r="AN123" s="34">
        <v>57558</v>
      </c>
      <c r="AO123" s="34">
        <v>119483</v>
      </c>
      <c r="AR123" s="34">
        <v>113832.45</v>
      </c>
      <c r="AS123" s="34">
        <v>113832.45</v>
      </c>
      <c r="AT123" s="34">
        <v>39166.43</v>
      </c>
      <c r="BF123" s="34">
        <v>113832.45</v>
      </c>
      <c r="BG123" s="6">
        <v>158560</v>
      </c>
      <c r="BK123" s="34">
        <v>119483.41</v>
      </c>
      <c r="BM123" s="34">
        <v>119483.41</v>
      </c>
      <c r="BO123" s="34">
        <v>147878</v>
      </c>
      <c r="BQ123" s="34">
        <v>113832.45</v>
      </c>
      <c r="BR123" s="34">
        <v>74970.559999999998</v>
      </c>
      <c r="BX123" s="34">
        <v>147878</v>
      </c>
      <c r="BY123" s="34">
        <v>119483.41</v>
      </c>
      <c r="BZ123" s="34">
        <v>131776.46</v>
      </c>
      <c r="CK123" s="34">
        <v>113832.45</v>
      </c>
      <c r="CL123" s="34">
        <v>158560</v>
      </c>
      <c r="CM123" s="34">
        <v>92387</v>
      </c>
      <c r="CN123" s="34">
        <v>53628</v>
      </c>
      <c r="CO123" s="34">
        <v>58500</v>
      </c>
      <c r="CP123" s="34">
        <v>70673</v>
      </c>
      <c r="CQ123" s="28">
        <v>113832.45</v>
      </c>
      <c r="CR123" s="28">
        <v>113832.45</v>
      </c>
      <c r="CS123" s="28">
        <v>113832.45</v>
      </c>
      <c r="CT123" s="34">
        <v>39166.43</v>
      </c>
      <c r="CU123" s="34">
        <v>113832.45</v>
      </c>
      <c r="CV123" s="34">
        <v>113832.45</v>
      </c>
      <c r="CW123" s="34">
        <v>119483.41</v>
      </c>
      <c r="CX123" s="34">
        <v>113832.45</v>
      </c>
      <c r="DH123" s="34">
        <v>113832.45</v>
      </c>
      <c r="DM123" s="34">
        <v>113832.45</v>
      </c>
      <c r="DN123" s="34">
        <v>128425</v>
      </c>
      <c r="DQ123" s="34">
        <v>70673</v>
      </c>
      <c r="DR123" s="34">
        <v>113832.45</v>
      </c>
      <c r="DS123" s="34">
        <v>113832.45</v>
      </c>
      <c r="DT123" s="34">
        <v>158560</v>
      </c>
      <c r="DV123" s="34">
        <v>113832.45</v>
      </c>
      <c r="DY123" s="41">
        <v>119483.41</v>
      </c>
    </row>
    <row r="124" spans="1:139" x14ac:dyDescent="0.2">
      <c r="DD124" t="s">
        <v>368</v>
      </c>
      <c r="DF124" s="28">
        <f>CA122</f>
        <v>66104275.470000006</v>
      </c>
    </row>
    <row r="125" spans="1:139" x14ac:dyDescent="0.2">
      <c r="DD125" t="s">
        <v>369</v>
      </c>
      <c r="DF125">
        <f>COUNTIF(DF$6:DF$121,"&lt;0")</f>
        <v>101</v>
      </c>
    </row>
    <row r="126" spans="1:139" x14ac:dyDescent="0.2">
      <c r="DD126" t="s">
        <v>370</v>
      </c>
      <c r="DF126">
        <f>COUNTIF(DF$6:DF$121,"&gt;0")</f>
        <v>15</v>
      </c>
    </row>
  </sheetData>
  <autoFilter ref="A1:DF126" xr:uid="{73D9FC83-A212-4416-A567-AA3E461F6228}"/>
  <pageMargins left="0.7" right="0.7" top="0.75" bottom="0.75" header="0.3" footer="0.3"/>
  <pageSetup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97740-B0FF-49D4-83F2-C789D89498BA}">
  <dimension ref="A1:EG123"/>
  <sheetViews>
    <sheetView workbookViewId="0">
      <pane xSplit="5" ySplit="5" topLeftCell="CU6" activePane="bottomRight" state="frozen"/>
      <selection pane="topRight" activeCell="F1" sqref="F1"/>
      <selection pane="bottomLeft" activeCell="A6" sqref="A6"/>
      <selection pane="bottomRight" activeCell="CW21" sqref="CW21"/>
    </sheetView>
  </sheetViews>
  <sheetFormatPr defaultRowHeight="12.75" x14ac:dyDescent="0.2"/>
  <cols>
    <col min="1" max="1" width="9.1640625" customWidth="1"/>
    <col min="2" max="2" width="26" customWidth="1"/>
    <col min="3" max="3" width="6.6640625" customWidth="1"/>
    <col min="4" max="4" width="7.1640625" customWidth="1"/>
    <col min="5" max="8" width="9.5" customWidth="1"/>
    <col min="9" max="9" width="8.33203125" customWidth="1"/>
    <col min="10" max="10" width="8.6640625" customWidth="1"/>
    <col min="11" max="13" width="14.6640625" customWidth="1"/>
    <col min="14" max="14" width="12" customWidth="1"/>
    <col min="15" max="15" width="14.6640625" customWidth="1"/>
    <col min="16" max="16" width="12.33203125" customWidth="1"/>
    <col min="17" max="17" width="14.6640625" customWidth="1"/>
    <col min="18" max="18" width="14" customWidth="1"/>
    <col min="19" max="23" width="14.6640625" customWidth="1"/>
    <col min="24" max="24" width="13.1640625" customWidth="1"/>
    <col min="25" max="25" width="12.5" customWidth="1"/>
    <col min="26" max="27" width="11.33203125" customWidth="1"/>
    <col min="28" max="28" width="11.5" customWidth="1"/>
    <col min="29" max="29" width="12.5" customWidth="1"/>
    <col min="30" max="42" width="14.6640625" customWidth="1"/>
    <col min="43" max="43" width="12.5" customWidth="1"/>
    <col min="44" max="47" width="14.6640625" customWidth="1"/>
    <col min="48" max="48" width="13" customWidth="1"/>
    <col min="49" max="49" width="12.6640625" customWidth="1"/>
    <col min="50" max="50" width="11" customWidth="1"/>
    <col min="51" max="87" width="14.6640625" customWidth="1"/>
    <col min="88" max="88" width="13.6640625" customWidth="1"/>
    <col min="89" max="90" width="14.6640625" customWidth="1"/>
    <col min="91" max="91" width="12.1640625" customWidth="1"/>
    <col min="92" max="92" width="13.5" customWidth="1"/>
    <col min="93" max="93" width="12" customWidth="1"/>
    <col min="94" max="94" width="14.6640625" customWidth="1"/>
    <col min="95" max="97" width="14.6640625" style="28" customWidth="1"/>
    <col min="98" max="98" width="12.6640625" customWidth="1"/>
    <col min="99" max="112" width="14.6640625" customWidth="1"/>
    <col min="115" max="116" width="14.6640625" customWidth="1"/>
    <col min="119" max="131" width="14.6640625" customWidth="1"/>
    <col min="136" max="137" width="14.6640625" customWidth="1"/>
  </cols>
  <sheetData>
    <row r="1" spans="1:137" x14ac:dyDescent="0.2">
      <c r="A1" s="3"/>
      <c r="B1" s="2"/>
      <c r="E1" s="1"/>
      <c r="F1" s="1"/>
      <c r="G1" s="1"/>
      <c r="H1" s="1"/>
      <c r="K1" t="s">
        <v>247</v>
      </c>
      <c r="L1" t="s">
        <v>247</v>
      </c>
      <c r="M1" t="s">
        <v>247</v>
      </c>
      <c r="N1" t="s">
        <v>248</v>
      </c>
      <c r="O1" t="s">
        <v>248</v>
      </c>
      <c r="P1" t="s">
        <v>247</v>
      </c>
      <c r="Q1" t="s">
        <v>247</v>
      </c>
      <c r="R1" t="s">
        <v>247</v>
      </c>
      <c r="S1" t="s">
        <v>247</v>
      </c>
      <c r="T1" t="s">
        <v>247</v>
      </c>
      <c r="U1" t="s">
        <v>247</v>
      </c>
      <c r="V1" t="s">
        <v>247</v>
      </c>
      <c r="W1" t="s">
        <v>247</v>
      </c>
      <c r="X1" t="s">
        <v>250</v>
      </c>
      <c r="Y1" t="s">
        <v>250</v>
      </c>
      <c r="Z1" t="s">
        <v>250</v>
      </c>
      <c r="AA1" t="s">
        <v>250</v>
      </c>
      <c r="AB1" t="s">
        <v>248</v>
      </c>
      <c r="AD1" t="s">
        <v>248</v>
      </c>
      <c r="AE1" t="s">
        <v>248</v>
      </c>
      <c r="AF1" t="s">
        <v>250</v>
      </c>
      <c r="AG1" t="s">
        <v>248</v>
      </c>
      <c r="AH1" t="s">
        <v>247</v>
      </c>
      <c r="AI1" t="s">
        <v>247</v>
      </c>
      <c r="AJ1" t="s">
        <v>247</v>
      </c>
      <c r="AK1" t="s">
        <v>247</v>
      </c>
      <c r="AL1" t="s">
        <v>256</v>
      </c>
      <c r="AN1" t="s">
        <v>247</v>
      </c>
      <c r="AO1" t="s">
        <v>247</v>
      </c>
      <c r="AP1" t="s">
        <v>250</v>
      </c>
      <c r="AQ1" t="s">
        <v>250</v>
      </c>
      <c r="AR1" t="s">
        <v>247</v>
      </c>
      <c r="AS1" t="s">
        <v>247</v>
      </c>
      <c r="AT1" t="s">
        <v>247</v>
      </c>
      <c r="AU1" t="s">
        <v>257</v>
      </c>
      <c r="AV1" t="s">
        <v>248</v>
      </c>
      <c r="AW1" t="s">
        <v>248</v>
      </c>
      <c r="AX1" t="s">
        <v>248</v>
      </c>
      <c r="AY1" t="s">
        <v>248</v>
      </c>
      <c r="AZ1" t="s">
        <v>248</v>
      </c>
      <c r="BC1" t="s">
        <v>260</v>
      </c>
      <c r="BD1" t="s">
        <v>260</v>
      </c>
      <c r="BE1" t="s">
        <v>260</v>
      </c>
      <c r="BF1" t="s">
        <v>260</v>
      </c>
      <c r="BG1" t="s">
        <v>260</v>
      </c>
      <c r="BH1" t="s">
        <v>260</v>
      </c>
      <c r="BI1" t="s">
        <v>260</v>
      </c>
      <c r="BJ1" t="s">
        <v>260</v>
      </c>
      <c r="BK1" t="s">
        <v>248</v>
      </c>
      <c r="BL1" t="s">
        <v>248</v>
      </c>
      <c r="BM1" t="s">
        <v>248</v>
      </c>
      <c r="BN1" t="s">
        <v>248</v>
      </c>
      <c r="BO1" t="s">
        <v>248</v>
      </c>
      <c r="BP1" t="s">
        <v>248</v>
      </c>
      <c r="BQ1" t="s">
        <v>248</v>
      </c>
      <c r="BR1" t="s">
        <v>248</v>
      </c>
      <c r="BS1" t="s">
        <v>248</v>
      </c>
      <c r="BT1" t="s">
        <v>248</v>
      </c>
      <c r="BU1" t="s">
        <v>248</v>
      </c>
      <c r="BV1" t="s">
        <v>248</v>
      </c>
      <c r="BW1" t="s">
        <v>248</v>
      </c>
      <c r="BX1" t="s">
        <v>248</v>
      </c>
      <c r="BY1" t="s">
        <v>248</v>
      </c>
      <c r="BZ1" t="s">
        <v>248</v>
      </c>
      <c r="CA1" t="s">
        <v>248</v>
      </c>
      <c r="CB1" t="s">
        <v>250</v>
      </c>
      <c r="CC1" t="s">
        <v>249</v>
      </c>
      <c r="CD1" t="s">
        <v>249</v>
      </c>
      <c r="CE1" t="s">
        <v>249</v>
      </c>
      <c r="CF1" t="s">
        <v>249</v>
      </c>
      <c r="CG1" t="s">
        <v>249</v>
      </c>
      <c r="CH1" t="s">
        <v>249</v>
      </c>
      <c r="CI1" t="s">
        <v>249</v>
      </c>
      <c r="DF1" t="s">
        <v>250</v>
      </c>
      <c r="DK1" t="s">
        <v>257</v>
      </c>
      <c r="DL1" t="s">
        <v>257</v>
      </c>
      <c r="DO1" t="s">
        <v>259</v>
      </c>
      <c r="DP1" t="s">
        <v>259</v>
      </c>
      <c r="DQ1" t="s">
        <v>259</v>
      </c>
      <c r="DR1" t="s">
        <v>259</v>
      </c>
      <c r="DS1" t="s">
        <v>259</v>
      </c>
      <c r="DT1" t="s">
        <v>258</v>
      </c>
      <c r="DU1" t="s">
        <v>258</v>
      </c>
      <c r="DV1" t="s">
        <v>250</v>
      </c>
      <c r="DW1" t="s">
        <v>258</v>
      </c>
      <c r="DX1" t="s">
        <v>258</v>
      </c>
      <c r="EA1" t="s">
        <v>258</v>
      </c>
    </row>
    <row r="2" spans="1:137" x14ac:dyDescent="0.2">
      <c r="A2" s="3"/>
      <c r="B2" s="2"/>
      <c r="E2" s="1"/>
      <c r="F2" s="1"/>
      <c r="G2" s="1"/>
      <c r="H2" s="1"/>
      <c r="K2" t="s">
        <v>127</v>
      </c>
      <c r="L2" t="s">
        <v>126</v>
      </c>
      <c r="M2" t="s">
        <v>126</v>
      </c>
      <c r="N2" t="s">
        <v>125</v>
      </c>
      <c r="O2" t="s">
        <v>126</v>
      </c>
      <c r="P2" t="s">
        <v>126</v>
      </c>
      <c r="Q2" t="s">
        <v>126</v>
      </c>
      <c r="R2" t="s">
        <v>126</v>
      </c>
      <c r="S2" t="s">
        <v>127</v>
      </c>
      <c r="T2" t="s">
        <v>126</v>
      </c>
      <c r="U2" t="s">
        <v>126</v>
      </c>
      <c r="V2" t="s">
        <v>126</v>
      </c>
      <c r="W2" t="s">
        <v>126</v>
      </c>
      <c r="X2" t="s">
        <v>125</v>
      </c>
      <c r="Y2" t="s">
        <v>125</v>
      </c>
      <c r="Z2" t="s">
        <v>125</v>
      </c>
      <c r="AA2" t="s">
        <v>125</v>
      </c>
      <c r="AB2" t="s">
        <v>126</v>
      </c>
      <c r="AD2" t="s">
        <v>127</v>
      </c>
      <c r="AE2" t="s">
        <v>127</v>
      </c>
      <c r="AF2" t="s">
        <v>125</v>
      </c>
      <c r="AG2" t="s">
        <v>125</v>
      </c>
      <c r="AH2" t="s">
        <v>126</v>
      </c>
      <c r="AI2" t="s">
        <v>126</v>
      </c>
      <c r="AJ2" t="s">
        <v>126</v>
      </c>
      <c r="AK2" t="s">
        <v>127</v>
      </c>
      <c r="AL2" t="s">
        <v>126</v>
      </c>
      <c r="AN2" t="s">
        <v>126</v>
      </c>
      <c r="AO2" t="s">
        <v>126</v>
      </c>
      <c r="AP2" t="s">
        <v>127</v>
      </c>
      <c r="AQ2" t="s">
        <v>127</v>
      </c>
      <c r="AR2" t="s">
        <v>126</v>
      </c>
      <c r="AS2" t="s">
        <v>127</v>
      </c>
      <c r="AT2" t="s">
        <v>126</v>
      </c>
      <c r="AU2" t="s">
        <v>127</v>
      </c>
      <c r="AV2" t="s">
        <v>126</v>
      </c>
      <c r="AW2" t="s">
        <v>126</v>
      </c>
      <c r="AX2" t="s">
        <v>126</v>
      </c>
      <c r="AY2" t="s">
        <v>254</v>
      </c>
      <c r="BC2" t="s">
        <v>252</v>
      </c>
      <c r="BE2" t="s">
        <v>127</v>
      </c>
      <c r="BF2" t="s">
        <v>127</v>
      </c>
      <c r="BG2" t="s">
        <v>127</v>
      </c>
      <c r="BH2" t="s">
        <v>127</v>
      </c>
      <c r="BJ2" t="s">
        <v>127</v>
      </c>
      <c r="BK2" t="s">
        <v>127</v>
      </c>
      <c r="BL2" t="s">
        <v>127</v>
      </c>
      <c r="BM2" t="s">
        <v>126</v>
      </c>
      <c r="BN2" t="s">
        <v>126</v>
      </c>
      <c r="BO2" t="s">
        <v>127</v>
      </c>
      <c r="BP2" t="s">
        <v>126</v>
      </c>
      <c r="BQ2" t="s">
        <v>127</v>
      </c>
      <c r="BR2" t="s">
        <v>127</v>
      </c>
      <c r="BS2" t="s">
        <v>127</v>
      </c>
      <c r="BT2" t="s">
        <v>127</v>
      </c>
      <c r="BU2" t="s">
        <v>127</v>
      </c>
      <c r="BV2" t="s">
        <v>125</v>
      </c>
      <c r="BW2" t="s">
        <v>126</v>
      </c>
      <c r="BX2" t="s">
        <v>126</v>
      </c>
      <c r="BY2" t="s">
        <v>127</v>
      </c>
      <c r="BZ2" t="s">
        <v>127</v>
      </c>
      <c r="CA2" t="s">
        <v>125</v>
      </c>
      <c r="CB2" t="s">
        <v>125</v>
      </c>
      <c r="CC2" t="s">
        <v>125</v>
      </c>
      <c r="CD2" t="s">
        <v>125</v>
      </c>
      <c r="CE2" t="s">
        <v>125</v>
      </c>
      <c r="CF2" t="s">
        <v>125</v>
      </c>
      <c r="CG2" t="s">
        <v>125</v>
      </c>
      <c r="CH2" t="s">
        <v>125</v>
      </c>
      <c r="CI2" t="s">
        <v>125</v>
      </c>
      <c r="DF2" t="s">
        <v>125</v>
      </c>
      <c r="DK2" t="s">
        <v>127</v>
      </c>
      <c r="DL2" t="s">
        <v>127</v>
      </c>
      <c r="DT2" t="s">
        <v>125</v>
      </c>
      <c r="DU2" t="s">
        <v>125</v>
      </c>
      <c r="DV2" t="s">
        <v>125</v>
      </c>
      <c r="DW2" t="s">
        <v>125</v>
      </c>
      <c r="DX2" t="s">
        <v>125</v>
      </c>
      <c r="EA2" t="s">
        <v>125</v>
      </c>
    </row>
    <row r="3" spans="1:137" ht="63.75" x14ac:dyDescent="0.2">
      <c r="A3" s="24" t="s">
        <v>237</v>
      </c>
      <c r="B3" s="24" t="s">
        <v>236</v>
      </c>
      <c r="C3" s="17" t="s">
        <v>235</v>
      </c>
      <c r="D3" s="17" t="s">
        <v>234</v>
      </c>
      <c r="E3" s="23" t="s">
        <v>238</v>
      </c>
      <c r="F3" s="17" t="s">
        <v>332</v>
      </c>
      <c r="G3" s="23" t="s">
        <v>333</v>
      </c>
      <c r="H3" s="23" t="s">
        <v>334</v>
      </c>
      <c r="I3" s="17" t="s">
        <v>239</v>
      </c>
      <c r="J3" s="17" t="s">
        <v>240</v>
      </c>
      <c r="K3" s="17" t="s">
        <v>230</v>
      </c>
      <c r="L3" s="17" t="s">
        <v>227</v>
      </c>
      <c r="M3" s="17" t="s">
        <v>226</v>
      </c>
      <c r="N3" s="17" t="s">
        <v>224</v>
      </c>
      <c r="O3" s="17" t="s">
        <v>157</v>
      </c>
      <c r="P3" s="17" t="s">
        <v>219</v>
      </c>
      <c r="Q3" s="17" t="s">
        <v>218</v>
      </c>
      <c r="R3" s="17" t="s">
        <v>217</v>
      </c>
      <c r="S3" s="17" t="s">
        <v>216</v>
      </c>
      <c r="T3" s="32" t="s">
        <v>213</v>
      </c>
      <c r="U3" s="32" t="s">
        <v>212</v>
      </c>
      <c r="V3" s="32" t="s">
        <v>211</v>
      </c>
      <c r="W3" s="32" t="s">
        <v>210</v>
      </c>
      <c r="X3" s="32" t="s">
        <v>285</v>
      </c>
      <c r="Y3" s="32" t="s">
        <v>286</v>
      </c>
      <c r="Z3" s="32" t="s">
        <v>287</v>
      </c>
      <c r="AA3" s="32" t="s">
        <v>288</v>
      </c>
      <c r="AB3" s="17" t="s">
        <v>253</v>
      </c>
      <c r="AC3" s="17" t="s">
        <v>289</v>
      </c>
      <c r="AD3" s="17" t="s">
        <v>178</v>
      </c>
      <c r="AE3" s="17" t="s">
        <v>179</v>
      </c>
      <c r="AF3" s="20" t="s">
        <v>290</v>
      </c>
      <c r="AG3" s="20" t="s">
        <v>284</v>
      </c>
      <c r="AH3" s="16" t="s">
        <v>206</v>
      </c>
      <c r="AI3" s="16" t="s">
        <v>205</v>
      </c>
      <c r="AJ3" s="16" t="s">
        <v>204</v>
      </c>
      <c r="AK3" s="16" t="s">
        <v>251</v>
      </c>
      <c r="AL3" s="16" t="s">
        <v>203</v>
      </c>
      <c r="AM3" s="16" t="s">
        <v>298</v>
      </c>
      <c r="AN3" s="16" t="s">
        <v>202</v>
      </c>
      <c r="AO3" s="16" t="s">
        <v>201</v>
      </c>
      <c r="AP3" s="16" t="s">
        <v>292</v>
      </c>
      <c r="AQ3" s="16" t="s">
        <v>293</v>
      </c>
      <c r="AR3" s="15" t="s">
        <v>200</v>
      </c>
      <c r="AS3" s="15" t="s">
        <v>199</v>
      </c>
      <c r="AT3" s="15" t="s">
        <v>198</v>
      </c>
      <c r="AU3" s="15" t="s">
        <v>294</v>
      </c>
      <c r="AV3" s="22" t="s">
        <v>195</v>
      </c>
      <c r="AW3" s="22" t="s">
        <v>194</v>
      </c>
      <c r="AX3" s="22" t="s">
        <v>193</v>
      </c>
      <c r="AY3" s="22" t="s">
        <v>136</v>
      </c>
      <c r="AZ3" s="12" t="s">
        <v>192</v>
      </c>
      <c r="BA3" s="12" t="s">
        <v>192</v>
      </c>
      <c r="BB3" s="12" t="s">
        <v>192</v>
      </c>
      <c r="BC3" s="12" t="s">
        <v>191</v>
      </c>
      <c r="BD3" s="12" t="s">
        <v>295</v>
      </c>
      <c r="BE3" s="12" t="s">
        <v>190</v>
      </c>
      <c r="BF3" s="21" t="s">
        <v>184</v>
      </c>
      <c r="BG3" s="21" t="s">
        <v>183</v>
      </c>
      <c r="BH3" s="21" t="s">
        <v>182</v>
      </c>
      <c r="BI3" s="21" t="s">
        <v>181</v>
      </c>
      <c r="BJ3" s="21" t="s">
        <v>180</v>
      </c>
      <c r="BK3" s="13" t="s">
        <v>188</v>
      </c>
      <c r="BL3" s="13" t="s">
        <v>153</v>
      </c>
      <c r="BM3" s="13" t="s">
        <v>161</v>
      </c>
      <c r="BN3" s="13" t="s">
        <v>296</v>
      </c>
      <c r="BO3" s="13" t="s">
        <v>160</v>
      </c>
      <c r="BP3" s="13" t="s">
        <v>242</v>
      </c>
      <c r="BQ3" s="13" t="s">
        <v>174</v>
      </c>
      <c r="BR3" s="13" t="s">
        <v>152</v>
      </c>
      <c r="BS3" s="13" t="s">
        <v>158</v>
      </c>
      <c r="BT3" s="13" t="s">
        <v>159</v>
      </c>
      <c r="BU3" s="13" t="s">
        <v>154</v>
      </c>
      <c r="BV3" s="13" t="s">
        <v>155</v>
      </c>
      <c r="BW3" s="13" t="s">
        <v>246</v>
      </c>
      <c r="BX3" s="21" t="s">
        <v>177</v>
      </c>
      <c r="BY3" s="21" t="s">
        <v>176</v>
      </c>
      <c r="BZ3" s="21" t="s">
        <v>175</v>
      </c>
      <c r="CA3" s="21" t="s">
        <v>144</v>
      </c>
      <c r="CB3" s="21" t="s">
        <v>255</v>
      </c>
      <c r="CC3" s="19" t="s">
        <v>244</v>
      </c>
      <c r="CD3" s="19" t="s">
        <v>245</v>
      </c>
      <c r="CE3" s="19" t="s">
        <v>297</v>
      </c>
      <c r="CF3" s="19" t="s">
        <v>149</v>
      </c>
      <c r="CG3" s="14" t="s">
        <v>156</v>
      </c>
      <c r="CH3" s="14" t="s">
        <v>148</v>
      </c>
      <c r="CI3" s="14" t="s">
        <v>147</v>
      </c>
      <c r="CJ3" s="11" t="s">
        <v>344</v>
      </c>
      <c r="CK3" s="42" t="s">
        <v>229</v>
      </c>
      <c r="CL3" s="42" t="s">
        <v>228</v>
      </c>
      <c r="CM3" s="42" t="s">
        <v>225</v>
      </c>
      <c r="CN3" s="42" t="s">
        <v>223</v>
      </c>
      <c r="CO3" s="42" t="s">
        <v>222</v>
      </c>
      <c r="CP3" s="42" t="s">
        <v>221</v>
      </c>
      <c r="CQ3" s="42" t="s">
        <v>354</v>
      </c>
      <c r="CR3" s="42" t="s">
        <v>355</v>
      </c>
      <c r="CS3" s="42" t="s">
        <v>356</v>
      </c>
      <c r="CT3" s="42" t="s">
        <v>209</v>
      </c>
      <c r="CU3" s="42" t="s">
        <v>208</v>
      </c>
      <c r="CV3" s="42" t="s">
        <v>173</v>
      </c>
      <c r="CW3" s="42" t="s">
        <v>171</v>
      </c>
      <c r="CX3" s="42" t="s">
        <v>170</v>
      </c>
      <c r="CY3" s="42" t="s">
        <v>169</v>
      </c>
      <c r="CZ3" s="42" t="s">
        <v>168</v>
      </c>
      <c r="DA3" s="17" t="s">
        <v>300</v>
      </c>
      <c r="DB3" s="17" t="s">
        <v>301</v>
      </c>
      <c r="DC3" t="s">
        <v>302</v>
      </c>
      <c r="DD3" s="17" t="s">
        <v>306</v>
      </c>
      <c r="DF3" s="13" t="s">
        <v>187</v>
      </c>
      <c r="DG3" s="12" t="s">
        <v>189</v>
      </c>
      <c r="DH3" s="18" t="s">
        <v>167</v>
      </c>
      <c r="DI3" s="11"/>
      <c r="DK3" s="15" t="s">
        <v>197</v>
      </c>
      <c r="DL3" s="15" t="s">
        <v>196</v>
      </c>
      <c r="DO3" s="21" t="s">
        <v>220</v>
      </c>
      <c r="DP3" s="21" t="s">
        <v>214</v>
      </c>
      <c r="DQ3" s="21" t="s">
        <v>207</v>
      </c>
      <c r="DR3" s="21" t="s">
        <v>186</v>
      </c>
      <c r="DS3" s="21" t="s">
        <v>185</v>
      </c>
      <c r="DT3" s="21" t="s">
        <v>172</v>
      </c>
      <c r="DU3" s="21" t="s">
        <v>166</v>
      </c>
      <c r="DV3" s="21" t="s">
        <v>150</v>
      </c>
      <c r="DW3" s="21" t="s">
        <v>165</v>
      </c>
      <c r="DX3" s="21" t="s">
        <v>163</v>
      </c>
      <c r="DY3" s="21" t="s">
        <v>164</v>
      </c>
      <c r="DZ3" s="21" t="s">
        <v>162</v>
      </c>
      <c r="EA3" s="21" t="s">
        <v>151</v>
      </c>
      <c r="EF3" s="18" t="s">
        <v>146</v>
      </c>
      <c r="EG3" s="18" t="s">
        <v>145</v>
      </c>
    </row>
    <row r="4" spans="1:137" ht="20.25" x14ac:dyDescent="0.3">
      <c r="A4" s="10"/>
      <c r="B4" s="9"/>
      <c r="E4" s="1"/>
      <c r="F4" s="1"/>
      <c r="G4" s="1"/>
      <c r="H4" s="1"/>
      <c r="K4" t="s">
        <v>134</v>
      </c>
      <c r="L4" t="s">
        <v>139</v>
      </c>
      <c r="M4" t="s">
        <v>139</v>
      </c>
      <c r="N4" t="s">
        <v>143</v>
      </c>
      <c r="O4" t="s">
        <v>129</v>
      </c>
      <c r="P4" t="s">
        <v>142</v>
      </c>
      <c r="Q4" t="s">
        <v>142</v>
      </c>
      <c r="R4" t="s">
        <v>142</v>
      </c>
      <c r="S4" t="s">
        <v>132</v>
      </c>
      <c r="T4" t="s">
        <v>141</v>
      </c>
      <c r="U4" t="s">
        <v>141</v>
      </c>
      <c r="V4" t="s">
        <v>141</v>
      </c>
      <c r="W4" t="s">
        <v>141</v>
      </c>
      <c r="X4" t="s">
        <v>34</v>
      </c>
      <c r="Y4" t="s">
        <v>34</v>
      </c>
      <c r="Z4" t="s">
        <v>34</v>
      </c>
      <c r="AA4" t="s">
        <v>34</v>
      </c>
      <c r="AB4" t="s">
        <v>133</v>
      </c>
      <c r="AC4" t="s">
        <v>133</v>
      </c>
      <c r="AD4" t="s">
        <v>133</v>
      </c>
      <c r="AE4" t="s">
        <v>133</v>
      </c>
      <c r="AF4" t="s">
        <v>34</v>
      </c>
      <c r="AG4" t="s">
        <v>291</v>
      </c>
      <c r="AH4" t="s">
        <v>139</v>
      </c>
      <c r="AI4" t="s">
        <v>139</v>
      </c>
      <c r="AJ4" t="s">
        <v>138</v>
      </c>
      <c r="AL4" t="s">
        <v>138</v>
      </c>
      <c r="AM4" t="s">
        <v>247</v>
      </c>
      <c r="AN4" t="s">
        <v>138</v>
      </c>
      <c r="AO4" t="s">
        <v>138</v>
      </c>
      <c r="AP4" t="s">
        <v>34</v>
      </c>
      <c r="AQ4" t="s">
        <v>34</v>
      </c>
      <c r="AR4" t="s">
        <v>137</v>
      </c>
      <c r="AS4" t="s">
        <v>137</v>
      </c>
      <c r="AT4" t="s">
        <v>137</v>
      </c>
      <c r="AV4" t="s">
        <v>135</v>
      </c>
      <c r="AW4" t="s">
        <v>135</v>
      </c>
      <c r="AX4" t="s">
        <v>135</v>
      </c>
      <c r="AY4" t="s">
        <v>136</v>
      </c>
      <c r="AZ4" t="s">
        <v>135</v>
      </c>
      <c r="BA4" t="s">
        <v>135</v>
      </c>
      <c r="BB4" t="s">
        <v>135</v>
      </c>
      <c r="BC4" t="s">
        <v>129</v>
      </c>
      <c r="BD4" t="s">
        <v>129</v>
      </c>
      <c r="BE4" t="s">
        <v>129</v>
      </c>
      <c r="BF4" t="s">
        <v>132</v>
      </c>
      <c r="BG4" t="s">
        <v>134</v>
      </c>
      <c r="BH4" t="s">
        <v>131</v>
      </c>
      <c r="BI4" t="s">
        <v>129</v>
      </c>
      <c r="BJ4" t="s">
        <v>131</v>
      </c>
      <c r="BK4" t="s">
        <v>132</v>
      </c>
      <c r="BL4" t="s">
        <v>129</v>
      </c>
      <c r="BM4" t="s">
        <v>132</v>
      </c>
      <c r="BN4" t="s">
        <v>34</v>
      </c>
      <c r="BO4" t="s">
        <v>132</v>
      </c>
      <c r="BP4" t="s">
        <v>34</v>
      </c>
      <c r="BQ4" t="s">
        <v>130</v>
      </c>
      <c r="BR4" t="s">
        <v>130</v>
      </c>
      <c r="BS4" t="s">
        <v>131</v>
      </c>
      <c r="BT4" t="s">
        <v>129</v>
      </c>
      <c r="BU4" t="s">
        <v>129</v>
      </c>
      <c r="BV4" t="s">
        <v>129</v>
      </c>
      <c r="BW4" t="s">
        <v>34</v>
      </c>
      <c r="BX4" t="s">
        <v>132</v>
      </c>
      <c r="BY4" t="s">
        <v>132</v>
      </c>
      <c r="BZ4" t="s">
        <v>132</v>
      </c>
      <c r="CC4" t="s">
        <v>129</v>
      </c>
      <c r="CD4" t="s">
        <v>34</v>
      </c>
      <c r="CE4" t="s">
        <v>34</v>
      </c>
      <c r="CF4" t="s">
        <v>34</v>
      </c>
      <c r="CG4" t="s">
        <v>129</v>
      </c>
      <c r="CH4" t="s">
        <v>129</v>
      </c>
      <c r="CI4" t="s">
        <v>129</v>
      </c>
      <c r="CK4" t="s">
        <v>132</v>
      </c>
      <c r="CL4" t="s">
        <v>134</v>
      </c>
      <c r="CM4" t="s">
        <v>143</v>
      </c>
      <c r="CN4" t="s">
        <v>143</v>
      </c>
      <c r="CO4" t="s">
        <v>143</v>
      </c>
      <c r="CP4" t="s">
        <v>139</v>
      </c>
      <c r="CQ4" s="28" t="s">
        <v>130</v>
      </c>
      <c r="CR4" s="28" t="s">
        <v>130</v>
      </c>
      <c r="CS4" s="28" t="s">
        <v>130</v>
      </c>
      <c r="CT4" t="s">
        <v>140</v>
      </c>
      <c r="CU4" t="s">
        <v>133</v>
      </c>
      <c r="CV4" t="s">
        <v>133</v>
      </c>
      <c r="CW4" t="s">
        <v>129</v>
      </c>
      <c r="CX4" t="s">
        <v>129</v>
      </c>
      <c r="CY4" t="s">
        <v>129</v>
      </c>
      <c r="CZ4" t="s">
        <v>132</v>
      </c>
      <c r="DF4" t="s">
        <v>133</v>
      </c>
      <c r="DG4" t="s">
        <v>129</v>
      </c>
      <c r="DH4" t="s">
        <v>129</v>
      </c>
      <c r="DK4" t="s">
        <v>137</v>
      </c>
      <c r="DL4" t="s">
        <v>137</v>
      </c>
      <c r="DR4" t="s">
        <v>134</v>
      </c>
      <c r="DS4" t="s">
        <v>132</v>
      </c>
      <c r="DU4" t="s">
        <v>129</v>
      </c>
      <c r="DW4" t="s">
        <v>132</v>
      </c>
      <c r="DX4" t="s">
        <v>131</v>
      </c>
      <c r="EA4" t="s">
        <v>129</v>
      </c>
    </row>
    <row r="5" spans="1:137" x14ac:dyDescent="0.2">
      <c r="A5" s="3"/>
      <c r="B5" s="9" t="s">
        <v>128</v>
      </c>
      <c r="E5" s="1"/>
      <c r="F5" s="1"/>
      <c r="G5" s="1"/>
      <c r="H5" s="1"/>
      <c r="K5" t="s">
        <v>127</v>
      </c>
      <c r="L5" t="s">
        <v>126</v>
      </c>
      <c r="M5" t="s">
        <v>126</v>
      </c>
      <c r="N5" t="s">
        <v>125</v>
      </c>
      <c r="O5" t="s">
        <v>126</v>
      </c>
      <c r="P5" t="s">
        <v>126</v>
      </c>
      <c r="Q5" t="s">
        <v>126</v>
      </c>
      <c r="R5" t="s">
        <v>126</v>
      </c>
      <c r="S5" t="s">
        <v>126</v>
      </c>
      <c r="T5" t="s">
        <v>127</v>
      </c>
      <c r="U5" t="s">
        <v>127</v>
      </c>
      <c r="V5" t="s">
        <v>127</v>
      </c>
      <c r="W5" t="s">
        <v>127</v>
      </c>
      <c r="AD5" t="s">
        <v>127</v>
      </c>
      <c r="AE5" t="s">
        <v>127</v>
      </c>
      <c r="AH5" t="s">
        <v>127</v>
      </c>
      <c r="AI5" t="s">
        <v>127</v>
      </c>
      <c r="AJ5" t="s">
        <v>127</v>
      </c>
      <c r="AL5" t="s">
        <v>127</v>
      </c>
      <c r="AN5" t="s">
        <v>127</v>
      </c>
      <c r="AO5" t="s">
        <v>127</v>
      </c>
      <c r="AR5" t="s">
        <v>127</v>
      </c>
      <c r="AS5" t="s">
        <v>127</v>
      </c>
      <c r="AT5" t="s">
        <v>127</v>
      </c>
      <c r="AV5" t="s">
        <v>127</v>
      </c>
      <c r="AW5" t="s">
        <v>127</v>
      </c>
      <c r="AX5" t="s">
        <v>127</v>
      </c>
      <c r="AY5" t="s">
        <v>127</v>
      </c>
      <c r="AZ5" t="s">
        <v>127</v>
      </c>
      <c r="BA5" t="s">
        <v>127</v>
      </c>
      <c r="BB5" t="s">
        <v>127</v>
      </c>
      <c r="BC5" t="s">
        <v>125</v>
      </c>
      <c r="BE5" t="s">
        <v>127</v>
      </c>
      <c r="BF5" t="s">
        <v>127</v>
      </c>
      <c r="BG5" t="s">
        <v>127</v>
      </c>
      <c r="BH5" t="s">
        <v>127</v>
      </c>
      <c r="BI5" t="s">
        <v>127</v>
      </c>
      <c r="BJ5" t="s">
        <v>127</v>
      </c>
      <c r="BK5" t="s">
        <v>127</v>
      </c>
      <c r="BL5" t="s">
        <v>127</v>
      </c>
      <c r="BM5" t="s">
        <v>126</v>
      </c>
      <c r="BO5" t="s">
        <v>127</v>
      </c>
      <c r="BQ5" t="s">
        <v>127</v>
      </c>
      <c r="BR5" t="s">
        <v>127</v>
      </c>
      <c r="BS5" t="s">
        <v>127</v>
      </c>
      <c r="BT5" t="s">
        <v>127</v>
      </c>
      <c r="BU5" t="s">
        <v>127</v>
      </c>
      <c r="BV5" t="s">
        <v>125</v>
      </c>
      <c r="BX5" t="s">
        <v>127</v>
      </c>
      <c r="BY5" t="s">
        <v>127</v>
      </c>
      <c r="BZ5" t="s">
        <v>127</v>
      </c>
      <c r="CC5" t="s">
        <v>125</v>
      </c>
      <c r="CG5" t="s">
        <v>125</v>
      </c>
      <c r="CH5" t="s">
        <v>125</v>
      </c>
      <c r="CI5" t="s">
        <v>125</v>
      </c>
      <c r="CK5" t="s">
        <v>126</v>
      </c>
      <c r="CL5" t="s">
        <v>125</v>
      </c>
      <c r="CM5" t="s">
        <v>125</v>
      </c>
      <c r="CN5" t="s">
        <v>125</v>
      </c>
      <c r="CO5" t="s">
        <v>125</v>
      </c>
      <c r="CP5" t="s">
        <v>126</v>
      </c>
      <c r="CQ5" s="28" t="s">
        <v>126</v>
      </c>
      <c r="CT5" t="s">
        <v>126</v>
      </c>
      <c r="CU5" t="s">
        <v>126</v>
      </c>
      <c r="CV5" t="s">
        <v>125</v>
      </c>
      <c r="CW5" t="s">
        <v>125</v>
      </c>
      <c r="CX5" t="s">
        <v>125</v>
      </c>
      <c r="CY5" t="s">
        <v>126</v>
      </c>
      <c r="CZ5" t="s">
        <v>127</v>
      </c>
      <c r="DF5" t="s">
        <v>126</v>
      </c>
      <c r="DG5" t="s">
        <v>127</v>
      </c>
      <c r="DH5" t="s">
        <v>126</v>
      </c>
      <c r="DK5" t="s">
        <v>127</v>
      </c>
      <c r="DL5" t="s">
        <v>127</v>
      </c>
      <c r="DO5" t="s">
        <v>126</v>
      </c>
      <c r="DQ5" t="s">
        <v>126</v>
      </c>
      <c r="DR5" t="s">
        <v>125</v>
      </c>
      <c r="DS5" t="s">
        <v>126</v>
      </c>
      <c r="DU5" t="s">
        <v>126</v>
      </c>
      <c r="DW5" t="s">
        <v>125</v>
      </c>
      <c r="DX5" t="s">
        <v>125</v>
      </c>
      <c r="EA5" t="s">
        <v>126</v>
      </c>
      <c r="EG5" s="6"/>
    </row>
    <row r="6" spans="1:137" x14ac:dyDescent="0.2">
      <c r="A6">
        <v>202</v>
      </c>
      <c r="B6" t="s">
        <v>124</v>
      </c>
      <c r="C6" t="s">
        <v>7</v>
      </c>
      <c r="D6">
        <v>7</v>
      </c>
      <c r="E6">
        <f>VLOOKUP($A6,'[1]Init $$'!$B$3:$CG$118,4,FALSE)</f>
        <v>204</v>
      </c>
      <c r="F6">
        <f>VLOOKUP($A6,'[1]Init $$'!$B$3:$CG$118,6,FALSE)</f>
        <v>153</v>
      </c>
      <c r="G6">
        <f>VLOOKUP($A6,'[2]$$xSchpostCouncilxLevel'!$A$4:$EW$120,153,FALSE)</f>
        <v>169</v>
      </c>
      <c r="H6" s="50">
        <f>F6-G6</f>
        <v>-16</v>
      </c>
      <c r="I6" s="4">
        <f>VLOOKUP($A6,'[1]Init $$'!$B$3:$CG$118,8,FALSE)</f>
        <v>0.86764705882352944</v>
      </c>
      <c r="J6">
        <f>VLOOKUP($A6,'[1]Init $$'!$B$3:$CG$118,7,FALSE)</f>
        <v>177</v>
      </c>
      <c r="K6" s="43">
        <f>'Est gen ed 23 $$'!K6/'Est gen ed 23 pos'!K$123</f>
        <v>1</v>
      </c>
      <c r="L6" s="43">
        <f>'Est gen ed 23 $$'!L6/'Est gen ed 23 pos'!L$123</f>
        <v>0</v>
      </c>
      <c r="M6" s="43">
        <f>'Est gen ed 23 $$'!M6/'Est gen ed 23 pos'!M$123</f>
        <v>0</v>
      </c>
      <c r="N6" s="43">
        <f>'Est gen ed 23 $$'!N6/'Est gen ed 23 pos'!N$123</f>
        <v>1</v>
      </c>
      <c r="O6" s="34">
        <f>VLOOKUP($A6,'[1]Init $$'!$B$3:$CG$118,15,FALSE)</f>
        <v>5561.1</v>
      </c>
      <c r="P6" s="43">
        <f>'Est gen ed 23 $$'!P6/'Est gen ed 23 pos'!P$123</f>
        <v>1</v>
      </c>
      <c r="Q6" s="43">
        <f>'Est gen ed 23 $$'!Q6/'Est gen ed 23 pos'!Q$123</f>
        <v>1</v>
      </c>
      <c r="R6" s="43">
        <f>'Est gen ed 23 $$'!R6/'Est gen ed 23 pos'!R$123</f>
        <v>1</v>
      </c>
      <c r="S6" s="43">
        <f>'Est gen ed 23 $$'!S6/'Est gen ed 23 pos'!S$123</f>
        <v>1</v>
      </c>
      <c r="T6" s="43">
        <f>'Est gen ed 23 $$'!T6/'Est gen ed 23 pos'!T$123</f>
        <v>1.9999999121515879</v>
      </c>
      <c r="U6" s="43">
        <f>'Est gen ed 23 $$'!U6/'Est gen ed 23 pos'!U$123</f>
        <v>0</v>
      </c>
      <c r="V6" s="43">
        <f>'Est gen ed 23 $$'!V6/'Est gen ed 23 pos'!V$123</f>
        <v>1.9999999121515879</v>
      </c>
      <c r="W6" s="43">
        <f>'Est gen ed 23 $$'!W6/'Est gen ed 23 pos'!W$123</f>
        <v>3.9999997446793079</v>
      </c>
      <c r="X6" s="34">
        <f>VLOOKUP($A6,'[1]Init $$'!$B$3:$CG$118,24,FALSE)</f>
        <v>91386.9</v>
      </c>
      <c r="Y6" s="34">
        <f>VLOOKUP($A6,'[1]Init $$'!$B$3:$CG$118,25,FALSE)</f>
        <v>0</v>
      </c>
      <c r="Z6" s="34">
        <f>VLOOKUP($A6,'[1]Init $$'!$B$3:$CG$118,26,FALSE)</f>
        <v>0</v>
      </c>
      <c r="AA6" s="34">
        <f>VLOOKUP($A6,'[1]Init $$'!$B$3:$CG$118,27,FALSE)</f>
        <v>0</v>
      </c>
      <c r="AB6" s="43">
        <f>'Est gen ed 23 $$'!AB6/'Est gen ed 23 pos'!AB$123</f>
        <v>0</v>
      </c>
      <c r="AC6" s="43">
        <f>'Est gen ed 23 $$'!AC6/'Est gen ed 23 pos'!AC$123</f>
        <v>0</v>
      </c>
      <c r="AD6" s="43">
        <f>'Est gen ed 23 $$'!AD6/'Est gen ed 23 pos'!AD$123</f>
        <v>0</v>
      </c>
      <c r="AE6" s="43">
        <f>'Est gen ed 23 $$'!AE6/'Est gen ed 23 pos'!AE$123</f>
        <v>0</v>
      </c>
      <c r="AF6" s="34">
        <f>VLOOKUP($A6,'[1]Init $$'!$B$3:$CG$118,32,FALSE)</f>
        <v>913869</v>
      </c>
      <c r="AG6" s="34">
        <f>VLOOKUP($A6,'[1]Init $$'!$B$3:$CG$118,33,FALSE)</f>
        <v>66300</v>
      </c>
      <c r="AH6" s="43">
        <f>'Est gen ed 23 $$'!AH6/'Est gen ed 23 pos'!AH$123</f>
        <v>1</v>
      </c>
      <c r="AI6" s="43">
        <f>'Est gen ed 23 $$'!AI6/'Est gen ed 23 pos'!AI$123</f>
        <v>1</v>
      </c>
      <c r="AJ6" s="43">
        <f>'Est gen ed 23 $$'!AJ6/'Est gen ed 23 pos'!AJ$123</f>
        <v>2.9999999121515879</v>
      </c>
      <c r="AK6" s="43">
        <f>'Est gen ed 23 $$'!AK6/'Est gen ed 23 pos'!AK$123</f>
        <v>1</v>
      </c>
      <c r="AL6" s="43">
        <f>'Est gen ed 23 $$'!AL6/'Est gen ed 23 pos'!AL$123</f>
        <v>1</v>
      </c>
      <c r="AM6" s="43">
        <f>'Est gen ed 23 $$'!AM6/'Est gen ed 23 pos'!AM$123</f>
        <v>0</v>
      </c>
      <c r="AN6" s="43">
        <f>'Est gen ed 23 $$'!AN6/'Est gen ed 23 pos'!AN$123</f>
        <v>1.0000010424267696</v>
      </c>
      <c r="AO6" s="43">
        <f>'Est gen ed 23 $$'!AO6/'Est gen ed 23 pos'!AO$123</f>
        <v>0</v>
      </c>
      <c r="AP6" s="34">
        <f>VLOOKUP($A6,'[1]Init $$'!$B$3:$CG$118,42,FALSE)</f>
        <v>59132.7</v>
      </c>
      <c r="AQ6" s="34">
        <f>VLOOKUP($A6,'[1]Init $$'!$B$3:$CG$118,43,FALSE)</f>
        <v>0</v>
      </c>
      <c r="AR6" s="43">
        <f>'Est gen ed 23 $$'!AR6/'Est gen ed 23 pos'!AR$123</f>
        <v>0</v>
      </c>
      <c r="AS6" s="43">
        <f>'Est gen ed 23 $$'!AS6/'Est gen ed 23 pos'!AS$123</f>
        <v>0.26999998682273813</v>
      </c>
      <c r="AT6" s="43">
        <f>'Est gen ed 23 $$'!AT6/'Est gen ed 23 pos'!AT$123</f>
        <v>0</v>
      </c>
      <c r="AU6" s="34">
        <f>VLOOKUP($A6,'[1]Init $$'!$B$3:$CG$118,47,FALSE)</f>
        <v>10751.4</v>
      </c>
      <c r="AV6" s="34">
        <f>VLOOKUP($A6,'[1]Init $$'!$B$3:$CG$118,48,FALSE)</f>
        <v>6800</v>
      </c>
      <c r="AW6" s="34">
        <f>VLOOKUP($A6,'[1]Init $$'!$B$3:$CG$118,49,FALSE)</f>
        <v>6800</v>
      </c>
      <c r="AX6" s="34">
        <f>VLOOKUP($A6,'[1]Init $$'!$B$3:$CG$118,50,FALSE)</f>
        <v>10200</v>
      </c>
      <c r="AY6" s="34">
        <f>VLOOKUP($A6,'[1]Init $$'!$B$3:$CG$118,51,FALSE)</f>
        <v>0</v>
      </c>
      <c r="AZ6" s="34">
        <f>VLOOKUP($A6,'[1]Init $$'!$B$3:$CG$118,52,FALSE)</f>
        <v>13600</v>
      </c>
      <c r="BA6" s="34">
        <f>VLOOKUP($A6,'[1]Init $$'!$B$3:$CG$118,53,FALSE)</f>
        <v>0</v>
      </c>
      <c r="BB6" s="34">
        <f>VLOOKUP($A6,'[1]Init $$'!$B$3:$CG$118,54,FALSE)</f>
        <v>13600</v>
      </c>
      <c r="BC6" s="34">
        <f>VLOOKUP($A6,'[1]Init $$'!$B$3:$CG$118,55,FALSE)</f>
        <v>110400.96000000001</v>
      </c>
      <c r="BD6" s="34">
        <f>VLOOKUP($A6,'[1]Init $$'!$B$3:$CG$118,56,FALSE)</f>
        <v>1778.29</v>
      </c>
      <c r="BE6" s="34">
        <f>VLOOKUP($A6,'[1]Init $$'!$B$3:$CG$118,57,FALSE)</f>
        <v>0</v>
      </c>
      <c r="BF6" s="43">
        <f>'Est gen ed 23 $$'!BF6/'Est gen ed 23 pos'!BF$123</f>
        <v>0</v>
      </c>
      <c r="BG6" s="43">
        <f>'Est gen ed 23 $$'!BG6/'Est gen ed 23 pos'!BG$123</f>
        <v>0</v>
      </c>
      <c r="BH6" s="34">
        <f>VLOOKUP($A6,'[1]Init $$'!$B$3:$CG$118,60,FALSE)</f>
        <v>0</v>
      </c>
      <c r="BI6" s="34">
        <f>VLOOKUP($A6,'[1]Init $$'!$B$3:$CG$118,61,FALSE)</f>
        <v>0</v>
      </c>
      <c r="BJ6" s="34">
        <f>VLOOKUP($A6,'[1]Init $$'!$B$3:$CG$118,62,FALSE)</f>
        <v>0</v>
      </c>
      <c r="BK6" s="43">
        <f>'Est gen ed 23 $$'!BK6/'Est gen ed 23 pos'!BK$123</f>
        <v>0</v>
      </c>
      <c r="BL6" s="34">
        <f>VLOOKUP($A6,'[1]Init $$'!$B$3:$CG$118,64,FALSE)</f>
        <v>0</v>
      </c>
      <c r="BM6" s="43">
        <f>'Est gen ed 23 $$'!BM6/'Est gen ed 23 pos'!BM$123</f>
        <v>0</v>
      </c>
      <c r="BN6" s="34">
        <f>VLOOKUP($A6,'[1]Init $$'!$B$3:$CG$118,66,FALSE)</f>
        <v>0</v>
      </c>
      <c r="BO6" s="43">
        <f>'Est gen ed 23 $$'!BO6/'Est gen ed 23 pos'!BO$123</f>
        <v>0</v>
      </c>
      <c r="BP6" s="34">
        <f>VLOOKUP($A6,'[1]Init $$'!$B$3:$CG$118,68,FALSE)</f>
        <v>0</v>
      </c>
      <c r="BQ6" s="43">
        <f>'Est gen ed 23 $$'!BQ6/'Est gen ed 23 pos'!BQ$123</f>
        <v>0</v>
      </c>
      <c r="BR6" s="43">
        <f>'Est gen ed 23 $$'!BR6/'Est gen ed 23 pos'!BR$123</f>
        <v>0</v>
      </c>
      <c r="BS6" s="34">
        <f>VLOOKUP($A6,'[1]Init $$'!$B$3:$CG$118,71,FALSE)</f>
        <v>0</v>
      </c>
      <c r="BT6" s="34">
        <f>VLOOKUP($A6,'[1]Init $$'!$B$3:$CG$118,72,FALSE)</f>
        <v>0</v>
      </c>
      <c r="BU6" s="34">
        <f>VLOOKUP($A6,'[1]Init $$'!$B$3:$CG$118,73,FALSE)</f>
        <v>15325</v>
      </c>
      <c r="BV6" s="34">
        <f>VLOOKUP($A6,'[1]Init $$'!$B$3:$CG$118,74,FALSE)</f>
        <v>0</v>
      </c>
      <c r="BW6" s="34">
        <f>VLOOKUP($A6,'[1]Init $$'!$B$3:$CG$118,75,FALSE)</f>
        <v>0</v>
      </c>
      <c r="BX6" s="43">
        <f>'Est gen ed 23 $$'!BX6/'Est gen ed 23 pos'!BX$123</f>
        <v>0</v>
      </c>
      <c r="BY6" s="43">
        <f>'Est gen ed 23 $$'!BY6/'Est gen ed 23 pos'!BY$123</f>
        <v>0</v>
      </c>
      <c r="BZ6" s="43">
        <f>'Est gen ed 23 $$'!BZ6/'Est gen ed 23 pos'!BZ$123</f>
        <v>0</v>
      </c>
      <c r="CA6" s="34">
        <f>VLOOKUP($A6,'[1]Init $$'!$B$3:$CG$118,79,FALSE)</f>
        <v>474803.21</v>
      </c>
      <c r="CB6" s="34">
        <f>VLOOKUP($A6,'[1]Init $$'!$B$3:$CG$118,80,FALSE)</f>
        <v>113964.84</v>
      </c>
      <c r="CC6" s="34">
        <f>VLOOKUP($A6,'[1]Init $$'!$B$3:$CG$118,81,FALSE)</f>
        <v>191148.65</v>
      </c>
      <c r="CD6" s="34">
        <f>VLOOKUP($A6,'[1]Init $$'!$B$3:$CG$118,82,FALSE)</f>
        <v>48742.239999999998</v>
      </c>
      <c r="CE6" s="34">
        <f>VLOOKUP($A6,'[1]Init $$'!$B$3:$CG$118,83,FALSE)</f>
        <v>230513.44</v>
      </c>
      <c r="CF6" s="34">
        <f>VLOOKUP($A6,'[1]Init $$'!$B$3:$CG$118,84,FALSE)</f>
        <v>0</v>
      </c>
      <c r="CJ6" s="28">
        <f>SUM(K6:CI6)</f>
        <v>2384700.0000005104</v>
      </c>
      <c r="CK6" s="43">
        <f>'Est gen ed 23 $$'!CK6/'Est gen ed 23 pos'!CK$123</f>
        <v>0.99999604682144683</v>
      </c>
      <c r="CL6" s="43">
        <f>'Est gen ed 23 $$'!CL6/'Est gen ed 23 pos'!CL$123</f>
        <v>0</v>
      </c>
      <c r="CM6" s="43">
        <f>'Est gen ed 23 $$'!CM6/'Est gen ed 23 pos'!CM$123</f>
        <v>0.5</v>
      </c>
      <c r="CN6" s="43">
        <f>'Est gen ed 23 $$'!CN6/'Est gen ed 23 pos'!CN$123</f>
        <v>0</v>
      </c>
      <c r="CO6" s="43">
        <f>'Est gen ed 23 $$'!CO6/'Est gen ed 23 pos'!CO$123</f>
        <v>0</v>
      </c>
      <c r="CP6" s="43">
        <f>'Est gen ed 23 $$'!CP6/'Est gen ed 23 pos'!CP$123</f>
        <v>0</v>
      </c>
      <c r="CQ6" s="43">
        <f>'Est gen ed 23 $$'!CQ6/'Est gen ed 23 pos'!CQ$123</f>
        <v>0.99999604682144683</v>
      </c>
      <c r="CR6" s="43">
        <f>'Est gen ed 23 $$'!CR6/'Est gen ed 23 pos'!CR$123</f>
        <v>0.99999604682144683</v>
      </c>
      <c r="CS6" s="43">
        <f>'Est gen ed 23 $$'!CS6/'Est gen ed 23 pos'!CS$123</f>
        <v>0.99999604682144683</v>
      </c>
      <c r="CT6" s="43">
        <f>'Est gen ed 23 $$'!CT6/'Est gen ed 23 pos'!CT$123</f>
        <v>2</v>
      </c>
      <c r="CU6" s="43">
        <f>'Est gen ed 23 $$'!CU6/'Est gen ed 23 pos'!CU$123</f>
        <v>9</v>
      </c>
      <c r="CZ6" s="43">
        <f>'Est gen ed 23 $$'!CW6/'Est gen ed 23 pos'!CZ$123</f>
        <v>0</v>
      </c>
      <c r="DB6" s="28">
        <f>SUM(AA6,AF6,BV6)</f>
        <v>913869</v>
      </c>
      <c r="DC6" s="28">
        <f t="shared" ref="DC6:DC69" si="0">SUM(CC6:CF6)</f>
        <v>470404.32999999996</v>
      </c>
      <c r="DD6" s="28"/>
      <c r="DF6" s="34"/>
      <c r="DK6" s="34"/>
      <c r="DL6" s="34"/>
    </row>
    <row r="7" spans="1:137" x14ac:dyDescent="0.2">
      <c r="A7">
        <v>203</v>
      </c>
      <c r="B7" t="s">
        <v>123</v>
      </c>
      <c r="C7" t="s">
        <v>7</v>
      </c>
      <c r="D7">
        <v>6</v>
      </c>
      <c r="E7">
        <f>VLOOKUP($A7,'[1]Init $$'!$B$3:$CG$118,4,FALSE)</f>
        <v>360</v>
      </c>
      <c r="F7">
        <f>VLOOKUP($A7,'[1]Init $$'!$B$3:$CG$118,6,FALSE)</f>
        <v>288</v>
      </c>
      <c r="G7">
        <f>VLOOKUP($A7,'[2]$$xSchpostCouncilxLevel'!$A$4:$EW$120,153,FALSE)</f>
        <v>263</v>
      </c>
      <c r="H7" s="50">
        <f t="shared" ref="H7:H70" si="1">F7-G7</f>
        <v>25</v>
      </c>
      <c r="I7" s="4">
        <f>VLOOKUP($A7,'[1]Init $$'!$B$3:$CG$118,8,FALSE)</f>
        <v>0.61944444444444446</v>
      </c>
      <c r="J7">
        <f>VLOOKUP($A7,'[1]Init $$'!$B$3:$CG$118,7,FALSE)</f>
        <v>223</v>
      </c>
      <c r="K7" s="43">
        <f>'Est gen ed 23 $$'!K7/'Est gen ed 23 pos'!K$123</f>
        <v>1</v>
      </c>
      <c r="L7" s="43">
        <f>'Est gen ed 23 $$'!L7/'Est gen ed 23 pos'!L$123</f>
        <v>0</v>
      </c>
      <c r="M7" s="43">
        <f>'Est gen ed 23 $$'!M7/'Est gen ed 23 pos'!M$123</f>
        <v>0</v>
      </c>
      <c r="N7" s="43">
        <f>'Est gen ed 23 $$'!N7/'Est gen ed 23 pos'!N$123</f>
        <v>1</v>
      </c>
      <c r="O7" s="34">
        <f>VLOOKUP($A7,'[1]Init $$'!$B$3:$CG$118,15,FALSE)</f>
        <v>6183.55</v>
      </c>
      <c r="P7" s="43">
        <f>'Est gen ed 23 $$'!P7/'Est gen ed 23 pos'!P$123</f>
        <v>1</v>
      </c>
      <c r="Q7" s="43">
        <f>'Est gen ed 23 $$'!Q7/'Est gen ed 23 pos'!Q$123</f>
        <v>1</v>
      </c>
      <c r="R7" s="43">
        <f>'Est gen ed 23 $$'!R7/'Est gen ed 23 pos'!R$123</f>
        <v>2.0000001953611113</v>
      </c>
      <c r="S7" s="43">
        <f>'Est gen ed 23 $$'!S7/'Est gen ed 23 pos'!S$123</f>
        <v>1</v>
      </c>
      <c r="T7" s="43">
        <f>'Est gen ed 23 $$'!T7/'Est gen ed 23 pos'!T$123</f>
        <v>1.9999999121515879</v>
      </c>
      <c r="U7" s="43">
        <f>'Est gen ed 23 $$'!U7/'Est gen ed 23 pos'!U$123</f>
        <v>1</v>
      </c>
      <c r="V7" s="43">
        <f>'Est gen ed 23 $$'!V7/'Est gen ed 23 pos'!V$123</f>
        <v>1.9999999121515879</v>
      </c>
      <c r="W7" s="43">
        <f>'Est gen ed 23 $$'!W7/'Est gen ed 23 pos'!W$123</f>
        <v>4.9999994893586166</v>
      </c>
      <c r="X7" s="34">
        <f>VLOOKUP($A7,'[1]Init $$'!$B$3:$CG$118,24,FALSE)</f>
        <v>129016.8</v>
      </c>
      <c r="Y7" s="34">
        <f>VLOOKUP($A7,'[1]Init $$'!$B$3:$CG$118,25,FALSE)</f>
        <v>0</v>
      </c>
      <c r="Z7" s="34">
        <f>VLOOKUP($A7,'[1]Init $$'!$B$3:$CG$118,26,FALSE)</f>
        <v>0</v>
      </c>
      <c r="AA7" s="34">
        <f>VLOOKUP($A7,'[1]Init $$'!$B$3:$CG$118,27,FALSE)</f>
        <v>0</v>
      </c>
      <c r="AB7" s="43">
        <f>'Est gen ed 23 $$'!AB7/'Est gen ed 23 pos'!AB$123</f>
        <v>0</v>
      </c>
      <c r="AC7" s="43">
        <f>'Est gen ed 23 $$'!AC7/'Est gen ed 23 pos'!AC$123</f>
        <v>0</v>
      </c>
      <c r="AD7" s="43">
        <f>'Est gen ed 23 $$'!AD7/'Est gen ed 23 pos'!AD$123</f>
        <v>0</v>
      </c>
      <c r="AE7" s="43">
        <f>'Est gen ed 23 $$'!AE7/'Est gen ed 23 pos'!AE$123</f>
        <v>0</v>
      </c>
      <c r="AF7" s="34">
        <f>VLOOKUP($A7,'[1]Init $$'!$B$3:$CG$118,32,FALSE)</f>
        <v>1720224</v>
      </c>
      <c r="AG7" s="34">
        <f>VLOOKUP($A7,'[1]Init $$'!$B$3:$CG$118,33,FALSE)</f>
        <v>117000</v>
      </c>
      <c r="AH7" s="43">
        <f>'Est gen ed 23 $$'!AH7/'Est gen ed 23 pos'!AH$123</f>
        <v>1</v>
      </c>
      <c r="AI7" s="43">
        <f>'Est gen ed 23 $$'!AI7/'Est gen ed 23 pos'!AI$123</f>
        <v>1.4999999560757939</v>
      </c>
      <c r="AJ7" s="43">
        <f>'Est gen ed 23 $$'!AJ7/'Est gen ed 23 pos'!AJ$123</f>
        <v>3.9999998243031758</v>
      </c>
      <c r="AK7" s="43">
        <f>'Est gen ed 23 $$'!AK7/'Est gen ed 23 pos'!AK$123</f>
        <v>3.9999998243031758</v>
      </c>
      <c r="AL7" s="43">
        <f>'Est gen ed 23 $$'!AL7/'Est gen ed 23 pos'!AL$123</f>
        <v>5.9999994893586166</v>
      </c>
      <c r="AM7" s="43">
        <f>'Est gen ed 23 $$'!AM7/'Est gen ed 23 pos'!AM$123</f>
        <v>0</v>
      </c>
      <c r="AN7" s="43">
        <f>'Est gen ed 23 $$'!AN7/'Est gen ed 23 pos'!AN$123</f>
        <v>0</v>
      </c>
      <c r="AO7" s="43">
        <f>'Est gen ed 23 $$'!AO7/'Est gen ed 23 pos'!AO$123</f>
        <v>0</v>
      </c>
      <c r="AP7" s="34">
        <f>VLOOKUP($A7,'[1]Init $$'!$B$3:$CG$118,42,FALSE)</f>
        <v>103930.2</v>
      </c>
      <c r="AQ7" s="34">
        <f>VLOOKUP($A7,'[1]Init $$'!$B$3:$CG$118,43,FALSE)</f>
        <v>0</v>
      </c>
      <c r="AR7" s="43">
        <f>'Est gen ed 23 $$'!AR7/'Est gen ed 23 pos'!AR$123</f>
        <v>0</v>
      </c>
      <c r="AS7" s="43">
        <f>'Est gen ed 23 $$'!AS7/'Est gen ed 23 pos'!AS$123</f>
        <v>0.35999998243031756</v>
      </c>
      <c r="AT7" s="43">
        <f>'Est gen ed 23 $$'!AT7/'Est gen ed 23 pos'!AT$123</f>
        <v>0</v>
      </c>
      <c r="AU7" s="34">
        <f>VLOOKUP($A7,'[1]Init $$'!$B$3:$CG$118,47,FALSE)</f>
        <v>14335.2</v>
      </c>
      <c r="AV7" s="34">
        <f>VLOOKUP($A7,'[1]Init $$'!$B$3:$CG$118,48,FALSE)</f>
        <v>13600</v>
      </c>
      <c r="AW7" s="34">
        <f>VLOOKUP($A7,'[1]Init $$'!$B$3:$CG$118,49,FALSE)</f>
        <v>20400</v>
      </c>
      <c r="AX7" s="34">
        <f>VLOOKUP($A7,'[1]Init $$'!$B$3:$CG$118,50,FALSE)</f>
        <v>10200</v>
      </c>
      <c r="AY7" s="34">
        <f>VLOOKUP($A7,'[1]Init $$'!$B$3:$CG$118,51,FALSE)</f>
        <v>0</v>
      </c>
      <c r="AZ7" s="34">
        <f>VLOOKUP($A7,'[1]Init $$'!$B$3:$CG$118,52,FALSE)</f>
        <v>13600</v>
      </c>
      <c r="BA7" s="34">
        <f>VLOOKUP($A7,'[1]Init $$'!$B$3:$CG$118,53,FALSE)</f>
        <v>0</v>
      </c>
      <c r="BB7" s="34">
        <f>VLOOKUP($A7,'[1]Init $$'!$B$3:$CG$118,54,FALSE)</f>
        <v>20400</v>
      </c>
      <c r="BC7" s="34">
        <f>VLOOKUP($A7,'[1]Init $$'!$B$3:$CG$118,55,FALSE)</f>
        <v>166250.85999999999</v>
      </c>
      <c r="BD7" s="34">
        <f>VLOOKUP($A7,'[1]Init $$'!$B$3:$CG$118,56,FALSE)</f>
        <v>2677.89</v>
      </c>
      <c r="BE7" s="34">
        <f>VLOOKUP($A7,'[1]Init $$'!$B$3:$CG$118,57,FALSE)</f>
        <v>0</v>
      </c>
      <c r="BF7" s="43">
        <f>'Est gen ed 23 $$'!BF7/'Est gen ed 23 pos'!BF$123</f>
        <v>0</v>
      </c>
      <c r="BG7" s="43">
        <f>'Est gen ed 23 $$'!BG7/'Est gen ed 23 pos'!BG$123</f>
        <v>0</v>
      </c>
      <c r="BH7" s="34">
        <f>VLOOKUP($A7,'[1]Init $$'!$B$3:$CG$118,60,FALSE)</f>
        <v>0</v>
      </c>
      <c r="BI7" s="34">
        <f>VLOOKUP($A7,'[1]Init $$'!$B$3:$CG$118,61,FALSE)</f>
        <v>0</v>
      </c>
      <c r="BJ7" s="34">
        <f>VLOOKUP($A7,'[1]Init $$'!$B$3:$CG$118,62,FALSE)</f>
        <v>0</v>
      </c>
      <c r="BK7" s="43">
        <f>'Est gen ed 23 $$'!BK7/'Est gen ed 23 pos'!BK$123</f>
        <v>0</v>
      </c>
      <c r="BL7" s="34">
        <f>VLOOKUP($A7,'[1]Init $$'!$B$3:$CG$118,64,FALSE)</f>
        <v>0</v>
      </c>
      <c r="BM7" s="43">
        <f>'Est gen ed 23 $$'!BM7/'Est gen ed 23 pos'!BM$123</f>
        <v>0</v>
      </c>
      <c r="BN7" s="34">
        <f>VLOOKUP($A7,'[1]Init $$'!$B$3:$CG$118,66,FALSE)</f>
        <v>0</v>
      </c>
      <c r="BO7" s="43">
        <f>'Est gen ed 23 $$'!BO7/'Est gen ed 23 pos'!BO$123</f>
        <v>0</v>
      </c>
      <c r="BP7" s="34">
        <f>VLOOKUP($A7,'[1]Init $$'!$B$3:$CG$118,68,FALSE)</f>
        <v>0</v>
      </c>
      <c r="BQ7" s="43">
        <f>'Est gen ed 23 $$'!BQ7/'Est gen ed 23 pos'!BQ$123</f>
        <v>0</v>
      </c>
      <c r="BR7" s="43">
        <f>'Est gen ed 23 $$'!BR7/'Est gen ed 23 pos'!BR$123</f>
        <v>0</v>
      </c>
      <c r="BS7" s="34">
        <f>VLOOKUP($A7,'[1]Init $$'!$B$3:$CG$118,71,FALSE)</f>
        <v>0</v>
      </c>
      <c r="BT7" s="34">
        <f>VLOOKUP($A7,'[1]Init $$'!$B$3:$CG$118,72,FALSE)</f>
        <v>0</v>
      </c>
      <c r="BU7" s="34">
        <f>VLOOKUP($A7,'[1]Init $$'!$B$3:$CG$118,73,FALSE)</f>
        <v>0</v>
      </c>
      <c r="BV7" s="34">
        <f>VLOOKUP($A7,'[1]Init $$'!$B$3:$CG$118,74,FALSE)</f>
        <v>0</v>
      </c>
      <c r="BW7" s="34">
        <f>VLOOKUP($A7,'[1]Init $$'!$B$3:$CG$118,75,FALSE)</f>
        <v>0</v>
      </c>
      <c r="BX7" s="43">
        <f>'Est gen ed 23 $$'!BX7/'Est gen ed 23 pos'!BX$123</f>
        <v>0</v>
      </c>
      <c r="BY7" s="43">
        <f>'Est gen ed 23 $$'!BY7/'Est gen ed 23 pos'!BY$123</f>
        <v>0</v>
      </c>
      <c r="BZ7" s="43">
        <f>'Est gen ed 23 $$'!BZ7/'Est gen ed 23 pos'!BZ$123</f>
        <v>0</v>
      </c>
      <c r="CA7" s="34">
        <f>VLOOKUP($A7,'[1]Init $$'!$B$3:$CG$118,79,FALSE)</f>
        <v>598198.39</v>
      </c>
      <c r="CB7" s="34">
        <f>VLOOKUP($A7,'[1]Init $$'!$B$3:$CG$118,80,FALSE)</f>
        <v>94373.4</v>
      </c>
      <c r="CC7" s="34">
        <f>VLOOKUP($A7,'[1]Init $$'!$B$3:$CG$118,81,FALSE)</f>
        <v>0</v>
      </c>
      <c r="CD7" s="34">
        <f>VLOOKUP($A7,'[1]Init $$'!$B$3:$CG$118,82,FALSE)</f>
        <v>0</v>
      </c>
      <c r="CE7" s="34">
        <f>VLOOKUP($A7,'[1]Init $$'!$B$3:$CG$118,83,FALSE)</f>
        <v>0</v>
      </c>
      <c r="CF7" s="34">
        <f>VLOOKUP($A7,'[1]Init $$'!$B$3:$CG$118,84,FALSE)</f>
        <v>0</v>
      </c>
      <c r="CJ7" s="28">
        <f t="shared" ref="CJ7:CJ70" si="2">SUM(K7:CI7)</f>
        <v>3030424.1499985852</v>
      </c>
      <c r="CK7" s="43">
        <f>'Est gen ed 23 $$'!CK7/'Est gen ed 23 pos'!CK$123</f>
        <v>0.99999604682144683</v>
      </c>
      <c r="CL7" s="43">
        <f>'Est gen ed 23 $$'!CL7/'Est gen ed 23 pos'!CL$123</f>
        <v>0.9</v>
      </c>
      <c r="CM7" s="43">
        <f>'Est gen ed 23 $$'!CM7/'Est gen ed 23 pos'!CM$123</f>
        <v>1</v>
      </c>
      <c r="CN7" s="43">
        <f>'Est gen ed 23 $$'!CN7/'Est gen ed 23 pos'!CN$123</f>
        <v>0</v>
      </c>
      <c r="CO7" s="43">
        <f>'Est gen ed 23 $$'!CO7/'Est gen ed 23 pos'!CO$123</f>
        <v>0</v>
      </c>
      <c r="CP7" s="43">
        <f>'Est gen ed 23 $$'!CP7/'Est gen ed 23 pos'!CP$123</f>
        <v>0</v>
      </c>
      <c r="CQ7" s="43">
        <f>'Est gen ed 23 $$'!CQ7/'Est gen ed 23 pos'!CQ$123</f>
        <v>0.99999604682144683</v>
      </c>
      <c r="CR7" s="43">
        <f>'Est gen ed 23 $$'!CR7/'Est gen ed 23 pos'!CR$123</f>
        <v>0.99999604682144683</v>
      </c>
      <c r="CS7" s="43">
        <f>'Est gen ed 23 $$'!CS7/'Est gen ed 23 pos'!CS$123</f>
        <v>1.9999920936428937</v>
      </c>
      <c r="CT7" s="43">
        <f>'Est gen ed 23 $$'!CT7/'Est gen ed 23 pos'!CT$123</f>
        <v>3</v>
      </c>
      <c r="CU7" s="43">
        <f>'Est gen ed 23 $$'!CU7/'Est gen ed 23 pos'!CU$123</f>
        <v>16</v>
      </c>
      <c r="CZ7" s="43">
        <f>'Est gen ed 23 $$'!CW7/'Est gen ed 23 pos'!CZ$123</f>
        <v>0</v>
      </c>
      <c r="DB7" s="28">
        <f t="shared" ref="DB7:DB70" si="3">SUM(AA7,AF7,BV7)</f>
        <v>1720224</v>
      </c>
      <c r="DC7" s="28">
        <f t="shared" si="0"/>
        <v>0</v>
      </c>
      <c r="DK7" s="34"/>
      <c r="DL7" s="34"/>
    </row>
    <row r="8" spans="1:137" x14ac:dyDescent="0.2">
      <c r="A8">
        <v>450</v>
      </c>
      <c r="B8" t="s">
        <v>122</v>
      </c>
      <c r="C8" t="s">
        <v>1</v>
      </c>
      <c r="D8">
        <v>8</v>
      </c>
      <c r="E8">
        <f>VLOOKUP($A8,'[1]Init $$'!$B$3:$CG$118,4,FALSE)</f>
        <v>341</v>
      </c>
      <c r="F8">
        <f>VLOOKUP($A8,'[1]Init $$'!$B$3:$CG$118,6,FALSE)</f>
        <v>341</v>
      </c>
      <c r="G8">
        <f>VLOOKUP($A8,'[2]$$xSchpostCouncilxLevel'!$A$4:$EW$120,153,FALSE)</f>
        <v>357</v>
      </c>
      <c r="H8" s="50">
        <f t="shared" si="1"/>
        <v>-16</v>
      </c>
      <c r="I8" s="4">
        <f>VLOOKUP($A8,'[1]Init $$'!$B$3:$CG$118,8,FALSE)</f>
        <v>0.83577712609970678</v>
      </c>
      <c r="J8">
        <f>VLOOKUP($A8,'[1]Init $$'!$B$3:$CG$118,7,FALSE)</f>
        <v>285</v>
      </c>
      <c r="K8" s="43">
        <f>'Est gen ed 23 $$'!K8/'Est gen ed 23 pos'!K$123</f>
        <v>1</v>
      </c>
      <c r="L8" s="43">
        <f>'Est gen ed 23 $$'!L8/'Est gen ed 23 pos'!L$123</f>
        <v>0</v>
      </c>
      <c r="M8" s="43">
        <f>'Est gen ed 23 $$'!M8/'Est gen ed 23 pos'!M$123</f>
        <v>1.4999992213354096</v>
      </c>
      <c r="N8" s="43">
        <f>'Est gen ed 23 $$'!N8/'Est gen ed 23 pos'!N$123</f>
        <v>1</v>
      </c>
      <c r="O8" s="34">
        <f>VLOOKUP($A8,'[1]Init $$'!$B$3:$CG$118,15,FALSE)</f>
        <v>16254.33</v>
      </c>
      <c r="P8" s="43">
        <f>'Est gen ed 23 $$'!P8/'Est gen ed 23 pos'!P$123</f>
        <v>1</v>
      </c>
      <c r="Q8" s="43">
        <f>'Est gen ed 23 $$'!Q8/'Est gen ed 23 pos'!Q$123</f>
        <v>1</v>
      </c>
      <c r="R8" s="43">
        <f>'Est gen ed 23 $$'!R8/'Est gen ed 23 pos'!R$123</f>
        <v>4.0000003907222226</v>
      </c>
      <c r="S8" s="43">
        <f>'Est gen ed 23 $$'!S8/'Est gen ed 23 pos'!S$123</f>
        <v>1</v>
      </c>
      <c r="T8" s="43">
        <f>'Est gen ed 23 $$'!T8/'Est gen ed 23 pos'!T$123</f>
        <v>0</v>
      </c>
      <c r="U8" s="43">
        <f>'Est gen ed 23 $$'!U8/'Est gen ed 23 pos'!U$123</f>
        <v>0</v>
      </c>
      <c r="V8" s="43">
        <f>'Est gen ed 23 $$'!V8/'Est gen ed 23 pos'!V$123</f>
        <v>0</v>
      </c>
      <c r="W8" s="43">
        <f>'Est gen ed 23 $$'!W8/'Est gen ed 23 pos'!W$123</f>
        <v>0</v>
      </c>
      <c r="X8" s="34">
        <f>VLOOKUP($A8,'[1]Init $$'!$B$3:$CG$118,24,FALSE)</f>
        <v>0</v>
      </c>
      <c r="Y8" s="34">
        <f>VLOOKUP($A8,'[1]Init $$'!$B$3:$CG$118,25,FALSE)</f>
        <v>0</v>
      </c>
      <c r="Z8" s="34">
        <f>VLOOKUP($A8,'[1]Init $$'!$B$3:$CG$118,26,FALSE)</f>
        <v>0</v>
      </c>
      <c r="AA8" s="34">
        <f>VLOOKUP($A8,'[1]Init $$'!$B$3:$CG$118,27,FALSE)</f>
        <v>0</v>
      </c>
      <c r="AB8" s="43">
        <f>'Est gen ed 23 $$'!AB8/'Est gen ed 23 pos'!AB$123</f>
        <v>1.9999999121515879</v>
      </c>
      <c r="AC8" s="43">
        <f>'Est gen ed 23 $$'!AC8/'Est gen ed 23 pos'!AC$123</f>
        <v>0</v>
      </c>
      <c r="AD8" s="43">
        <f>'Est gen ed 23 $$'!AD8/'Est gen ed 23 pos'!AD$123</f>
        <v>0</v>
      </c>
      <c r="AE8" s="43">
        <f>'Est gen ed 23 $$'!AE8/'Est gen ed 23 pos'!AE$123</f>
        <v>0</v>
      </c>
      <c r="AF8" s="34">
        <f>VLOOKUP($A8,'[1]Init $$'!$B$3:$CG$118,32,FALSE)</f>
        <v>2036793</v>
      </c>
      <c r="AG8" s="34">
        <f>VLOOKUP($A8,'[1]Init $$'!$B$3:$CG$118,33,FALSE)</f>
        <v>202213</v>
      </c>
      <c r="AH8" s="43">
        <f>'Est gen ed 23 $$'!AH8/'Est gen ed 23 pos'!AH$123</f>
        <v>1</v>
      </c>
      <c r="AI8" s="43">
        <f>'Est gen ed 23 $$'!AI8/'Est gen ed 23 pos'!AI$123</f>
        <v>3.9999998243031758</v>
      </c>
      <c r="AJ8" s="43">
        <f>'Est gen ed 23 $$'!AJ8/'Est gen ed 23 pos'!AJ$123</f>
        <v>5.9999998243031758</v>
      </c>
      <c r="AK8" s="43">
        <f>'Est gen ed 23 $$'!AK8/'Est gen ed 23 pos'!AK$123</f>
        <v>7.9999997364547628</v>
      </c>
      <c r="AL8" s="43">
        <f>'Est gen ed 23 $$'!AL8/'Est gen ed 23 pos'!AL$123</f>
        <v>9.9999992340379258</v>
      </c>
      <c r="AM8" s="43">
        <f>'Est gen ed 23 $$'!AM8/'Est gen ed 23 pos'!AM$123</f>
        <v>0</v>
      </c>
      <c r="AN8" s="43">
        <f>'Est gen ed 23 $$'!AN8/'Est gen ed 23 pos'!AN$123</f>
        <v>2.0000019111157443</v>
      </c>
      <c r="AO8" s="43">
        <f>'Est gen ed 23 $$'!AO8/'Est gen ed 23 pos'!AO$123</f>
        <v>0</v>
      </c>
      <c r="AP8" s="34">
        <f>VLOOKUP($A8,'[1]Init $$'!$B$3:$CG$118,42,FALSE)</f>
        <v>166646.70000000001</v>
      </c>
      <c r="AQ8" s="34">
        <f>VLOOKUP($A8,'[1]Init $$'!$B$3:$CG$118,43,FALSE)</f>
        <v>0</v>
      </c>
      <c r="AR8" s="43">
        <f>'Est gen ed 23 $$'!AR8/'Est gen ed 23 pos'!AR$123</f>
        <v>0</v>
      </c>
      <c r="AS8" s="43">
        <f>'Est gen ed 23 $$'!AS8/'Est gen ed 23 pos'!AS$123</f>
        <v>0.22999996925305569</v>
      </c>
      <c r="AT8" s="43">
        <f>'Est gen ed 23 $$'!AT8/'Est gen ed 23 pos'!AT$123</f>
        <v>0</v>
      </c>
      <c r="AU8" s="34">
        <f>VLOOKUP($A8,'[1]Init $$'!$B$3:$CG$118,47,FALSE)</f>
        <v>8959.5</v>
      </c>
      <c r="AV8" s="34">
        <f>VLOOKUP($A8,'[1]Init $$'!$B$3:$CG$118,48,FALSE)</f>
        <v>0</v>
      </c>
      <c r="AW8" s="34" t="str">
        <f>VLOOKUP($A8,'[1]Init $$'!$B$3:$CG$118,49,FALSE)</f>
        <v>`</v>
      </c>
      <c r="AX8" s="34">
        <f>VLOOKUP($A8,'[1]Init $$'!$B$3:$CG$118,50,FALSE)</f>
        <v>0</v>
      </c>
      <c r="AY8" s="34">
        <f>VLOOKUP($A8,'[1]Init $$'!$B$3:$CG$118,51,FALSE)</f>
        <v>60000</v>
      </c>
      <c r="AZ8" s="34">
        <f>VLOOKUP($A8,'[1]Init $$'!$B$3:$CG$118,52,FALSE)</f>
        <v>0</v>
      </c>
      <c r="BA8" s="34">
        <f>VLOOKUP($A8,'[1]Init $$'!$B$3:$CG$118,53,FALSE)</f>
        <v>0</v>
      </c>
      <c r="BB8" s="34">
        <f>VLOOKUP($A8,'[1]Init $$'!$B$3:$CG$118,54,FALSE)</f>
        <v>0</v>
      </c>
      <c r="BC8" s="34">
        <f>VLOOKUP($A8,'[1]Init $$'!$B$3:$CG$118,55,FALSE)</f>
        <v>184542.78</v>
      </c>
      <c r="BD8" s="34">
        <f>VLOOKUP($A8,'[1]Init $$'!$B$3:$CG$118,56,FALSE)</f>
        <v>2972.53</v>
      </c>
      <c r="BE8" s="34">
        <f>VLOOKUP($A8,'[1]Init $$'!$B$3:$CG$118,57,FALSE)</f>
        <v>0</v>
      </c>
      <c r="BF8" s="43">
        <f>'Est gen ed 23 $$'!BF8/'Est gen ed 23 pos'!BF$123</f>
        <v>0</v>
      </c>
      <c r="BG8" s="43">
        <f>'Est gen ed 23 $$'!BG8/'Est gen ed 23 pos'!BG$123</f>
        <v>0.99999886478304745</v>
      </c>
      <c r="BH8" s="34">
        <f>VLOOKUP($A8,'[1]Init $$'!$B$3:$CG$118,60,FALSE)</f>
        <v>9336.09</v>
      </c>
      <c r="BI8" s="34">
        <f>VLOOKUP($A8,'[1]Init $$'!$B$3:$CG$118,61,FALSE)</f>
        <v>25880</v>
      </c>
      <c r="BJ8" s="34">
        <f>VLOOKUP($A8,'[1]Init $$'!$B$3:$CG$118,62,FALSE)</f>
        <v>36800</v>
      </c>
      <c r="BK8" s="43">
        <f>'Est gen ed 23 $$'!BK8/'Est gen ed 23 pos'!BK$123</f>
        <v>0</v>
      </c>
      <c r="BL8" s="34">
        <f>VLOOKUP($A8,'[1]Init $$'!$B$3:$CG$118,64,FALSE)</f>
        <v>0</v>
      </c>
      <c r="BM8" s="43">
        <f>'Est gen ed 23 $$'!BM8/'Est gen ed 23 pos'!BM$123</f>
        <v>0</v>
      </c>
      <c r="BN8" s="34">
        <f>VLOOKUP($A8,'[1]Init $$'!$B$3:$CG$118,66,FALSE)</f>
        <v>0</v>
      </c>
      <c r="BO8" s="43">
        <f>'Est gen ed 23 $$'!BO8/'Est gen ed 23 pos'!BO$123</f>
        <v>0</v>
      </c>
      <c r="BP8" s="34">
        <f>VLOOKUP($A8,'[1]Init $$'!$B$3:$CG$118,68,FALSE)</f>
        <v>0</v>
      </c>
      <c r="BQ8" s="43">
        <f>'Est gen ed 23 $$'!BQ8/'Est gen ed 23 pos'!BQ$123</f>
        <v>0</v>
      </c>
      <c r="BR8" s="43">
        <f>'Est gen ed 23 $$'!BR8/'Est gen ed 23 pos'!BR$123</f>
        <v>0</v>
      </c>
      <c r="BS8" s="34">
        <f>VLOOKUP($A8,'[1]Init $$'!$B$3:$CG$118,71,FALSE)</f>
        <v>0</v>
      </c>
      <c r="BT8" s="34">
        <f>VLOOKUP($A8,'[1]Init $$'!$B$3:$CG$118,72,FALSE)</f>
        <v>0</v>
      </c>
      <c r="BU8" s="34">
        <f>VLOOKUP($A8,'[1]Init $$'!$B$3:$CG$118,73,FALSE)</f>
        <v>0</v>
      </c>
      <c r="BV8" s="34">
        <f>VLOOKUP($A8,'[1]Init $$'!$B$3:$CG$118,74,FALSE)</f>
        <v>0</v>
      </c>
      <c r="BW8" s="34">
        <f>VLOOKUP($A8,'[1]Init $$'!$B$3:$CG$118,75,FALSE)</f>
        <v>295129</v>
      </c>
      <c r="BX8" s="43">
        <f>'Est gen ed 23 $$'!BX8/'Est gen ed 23 pos'!BX$123</f>
        <v>1.0000041250219776</v>
      </c>
      <c r="BY8" s="43">
        <f>'Est gen ed 23 $$'!BY8/'Est gen ed 23 pos'!BY$123</f>
        <v>0</v>
      </c>
      <c r="BZ8" s="43">
        <f>'Est gen ed 23 $$'!BZ8/'Est gen ed 23 pos'!BZ$123</f>
        <v>0</v>
      </c>
      <c r="CA8" s="34">
        <f>VLOOKUP($A8,'[1]Init $$'!$B$3:$CG$118,79,FALSE)</f>
        <v>854377.52</v>
      </c>
      <c r="CB8" s="34">
        <f>VLOOKUP($A8,'[1]Init $$'!$B$3:$CG$118,80,FALSE)</f>
        <v>232827.54</v>
      </c>
      <c r="CC8" s="34">
        <f>VLOOKUP($A8,'[1]Init $$'!$B$3:$CG$118,81,FALSE)</f>
        <v>380968.54</v>
      </c>
      <c r="CD8" s="34">
        <f>VLOOKUP($A8,'[1]Init $$'!$B$3:$CG$118,82,FALSE)</f>
        <v>110436.07</v>
      </c>
      <c r="CE8" s="34">
        <f>VLOOKUP($A8,'[1]Init $$'!$B$3:$CG$118,83,FALSE)</f>
        <v>0</v>
      </c>
      <c r="CF8" s="34">
        <f>VLOOKUP($A8,'[1]Init $$'!$B$3:$CG$118,84,FALSE)</f>
        <v>0</v>
      </c>
      <c r="CJ8" s="28">
        <f t="shared" si="2"/>
        <v>4624182.3300030129</v>
      </c>
      <c r="CK8" s="43">
        <f>'Est gen ed 23 $$'!CK8/'Est gen ed 23 pos'!CK$123</f>
        <v>0.99999604682144683</v>
      </c>
      <c r="CL8" s="43">
        <f>'Est gen ed 23 $$'!CL8/'Est gen ed 23 pos'!CL$123</f>
        <v>1.1366666666666667</v>
      </c>
      <c r="CM8" s="43">
        <f>'Est gen ed 23 $$'!CM8/'Est gen ed 23 pos'!CM$123</f>
        <v>1</v>
      </c>
      <c r="CN8" s="43">
        <f>'Est gen ed 23 $$'!CN8/'Est gen ed 23 pos'!CN$123</f>
        <v>0</v>
      </c>
      <c r="CO8" s="43">
        <f>'Est gen ed 23 $$'!CO8/'Est gen ed 23 pos'!CO$123</f>
        <v>1</v>
      </c>
      <c r="CP8" s="43">
        <f>'Est gen ed 23 $$'!CP8/'Est gen ed 23 pos'!CP$123</f>
        <v>1</v>
      </c>
      <c r="CQ8" s="43">
        <f>'Est gen ed 23 $$'!CQ8/'Est gen ed 23 pos'!CQ$123</f>
        <v>0</v>
      </c>
      <c r="CR8" s="43">
        <f>'Est gen ed 23 $$'!CR8/'Est gen ed 23 pos'!CR$123</f>
        <v>0</v>
      </c>
      <c r="CS8" s="43">
        <f>'Est gen ed 23 $$'!CS8/'Est gen ed 23 pos'!CS$123</f>
        <v>0</v>
      </c>
      <c r="CT8" s="43">
        <f>'Est gen ed 23 $$'!CT8/'Est gen ed 23 pos'!CT$123</f>
        <v>0</v>
      </c>
      <c r="CU8" s="43">
        <f>'Est gen ed 23 $$'!CU8/'Est gen ed 23 pos'!CU$123</f>
        <v>20.999999999999996</v>
      </c>
      <c r="CZ8" s="43">
        <f>'Est gen ed 23 $$'!CW8/'Est gen ed 23 pos'!CZ$123</f>
        <v>0.9999965685612755</v>
      </c>
      <c r="DB8" s="28">
        <f t="shared" si="3"/>
        <v>2036793</v>
      </c>
      <c r="DC8" s="28">
        <f t="shared" si="0"/>
        <v>491404.61</v>
      </c>
      <c r="DK8" s="34"/>
      <c r="DL8" s="34"/>
    </row>
    <row r="9" spans="1:137" x14ac:dyDescent="0.2">
      <c r="A9">
        <v>452</v>
      </c>
      <c r="B9" t="s">
        <v>121</v>
      </c>
      <c r="C9" t="s">
        <v>1</v>
      </c>
      <c r="D9">
        <v>8</v>
      </c>
      <c r="E9">
        <f>VLOOKUP($A9,'[1]Init $$'!$B$3:$CG$118,4,FALSE)</f>
        <v>672</v>
      </c>
      <c r="F9">
        <f>VLOOKUP($A9,'[1]Init $$'!$B$3:$CG$118,6,FALSE)</f>
        <v>672</v>
      </c>
      <c r="G9">
        <f>VLOOKUP($A9,'[2]$$xSchpostCouncilxLevel'!$A$4:$EW$120,153,FALSE)</f>
        <v>698</v>
      </c>
      <c r="H9" s="50">
        <f t="shared" si="1"/>
        <v>-26</v>
      </c>
      <c r="I9" s="4">
        <f>VLOOKUP($A9,'[1]Init $$'!$B$3:$CG$118,8,FALSE)</f>
        <v>0.85119047619047616</v>
      </c>
      <c r="J9">
        <f>VLOOKUP($A9,'[1]Init $$'!$B$3:$CG$118,7,FALSE)</f>
        <v>572</v>
      </c>
      <c r="K9" s="43">
        <f>'Est gen ed 23 $$'!K9/'Est gen ed 23 pos'!K$123</f>
        <v>1</v>
      </c>
      <c r="L9" s="43">
        <f>'Est gen ed 23 $$'!L9/'Est gen ed 23 pos'!L$123</f>
        <v>0</v>
      </c>
      <c r="M9" s="43">
        <f>'Est gen ed 23 $$'!M9/'Est gen ed 23 pos'!M$123</f>
        <v>2.9999983648043602</v>
      </c>
      <c r="N9" s="43">
        <f>'Est gen ed 23 $$'!N9/'Est gen ed 23 pos'!N$123</f>
        <v>1</v>
      </c>
      <c r="O9" s="34">
        <f>VLOOKUP($A9,'[1]Init $$'!$B$3:$CG$118,15,FALSE)</f>
        <v>27396.65</v>
      </c>
      <c r="P9" s="43">
        <f>'Est gen ed 23 $$'!P9/'Est gen ed 23 pos'!P$123</f>
        <v>1</v>
      </c>
      <c r="Q9" s="43">
        <f>'Est gen ed 23 $$'!Q9/'Est gen ed 23 pos'!Q$123</f>
        <v>1</v>
      </c>
      <c r="R9" s="43">
        <f>'Est gen ed 23 $$'!R9/'Est gen ed 23 pos'!R$123</f>
        <v>9.0000007814444452</v>
      </c>
      <c r="S9" s="43">
        <f>'Est gen ed 23 $$'!S9/'Est gen ed 23 pos'!S$123</f>
        <v>1</v>
      </c>
      <c r="T9" s="43">
        <f>'Est gen ed 23 $$'!T9/'Est gen ed 23 pos'!T$123</f>
        <v>0</v>
      </c>
      <c r="U9" s="43">
        <f>'Est gen ed 23 $$'!U9/'Est gen ed 23 pos'!U$123</f>
        <v>0</v>
      </c>
      <c r="V9" s="43">
        <f>'Est gen ed 23 $$'!V9/'Est gen ed 23 pos'!V$123</f>
        <v>0</v>
      </c>
      <c r="W9" s="43">
        <f>'Est gen ed 23 $$'!W9/'Est gen ed 23 pos'!W$123</f>
        <v>0</v>
      </c>
      <c r="X9" s="34">
        <f>VLOOKUP($A9,'[1]Init $$'!$B$3:$CG$118,24,FALSE)</f>
        <v>0</v>
      </c>
      <c r="Y9" s="34">
        <f>VLOOKUP($A9,'[1]Init $$'!$B$3:$CG$118,25,FALSE)</f>
        <v>0</v>
      </c>
      <c r="Z9" s="34">
        <f>VLOOKUP($A9,'[1]Init $$'!$B$3:$CG$118,26,FALSE)</f>
        <v>0</v>
      </c>
      <c r="AA9" s="34">
        <f>VLOOKUP($A9,'[1]Init $$'!$B$3:$CG$118,27,FALSE)</f>
        <v>0</v>
      </c>
      <c r="AB9" s="43">
        <f>'Est gen ed 23 $$'!AB9/'Est gen ed 23 pos'!AB$123</f>
        <v>4.9999998243031758</v>
      </c>
      <c r="AC9" s="43">
        <f>'Est gen ed 23 $$'!AC9/'Est gen ed 23 pos'!AC$123</f>
        <v>0.75470483153090351</v>
      </c>
      <c r="AD9" s="43">
        <f>'Est gen ed 23 $$'!AD9/'Est gen ed 23 pos'!AD$123</f>
        <v>0</v>
      </c>
      <c r="AE9" s="43">
        <f>'Est gen ed 23 $$'!AE9/'Est gen ed 23 pos'!AE$123</f>
        <v>0</v>
      </c>
      <c r="AF9" s="34">
        <f>VLOOKUP($A9,'[1]Init $$'!$B$3:$CG$118,32,FALSE)</f>
        <v>4013856</v>
      </c>
      <c r="AG9" s="34">
        <f>VLOOKUP($A9,'[1]Init $$'!$B$3:$CG$118,33,FALSE)</f>
        <v>398496</v>
      </c>
      <c r="AH9" s="43">
        <f>'Est gen ed 23 $$'!AH9/'Est gen ed 23 pos'!AH$123</f>
        <v>1.9999999121515879</v>
      </c>
      <c r="AI9" s="43">
        <f>'Est gen ed 23 $$'!AI9/'Est gen ed 23 pos'!AI$123</f>
        <v>4.9999998243031758</v>
      </c>
      <c r="AJ9" s="43">
        <f>'Est gen ed 23 $$'!AJ9/'Est gen ed 23 pos'!AJ$123</f>
        <v>10.99999964860635</v>
      </c>
      <c r="AK9" s="43">
        <f>'Est gen ed 23 $$'!AK9/'Est gen ed 23 pos'!AK$123</f>
        <v>7.9999997364547628</v>
      </c>
      <c r="AL9" s="43">
        <f>'Est gen ed 23 $$'!AL9/'Est gen ed 23 pos'!AL$123</f>
        <v>9.9999992340379258</v>
      </c>
      <c r="AM9" s="43">
        <f>'Est gen ed 23 $$'!AM9/'Est gen ed 23 pos'!AM$123</f>
        <v>0</v>
      </c>
      <c r="AN9" s="43">
        <f>'Est gen ed 23 $$'!AN9/'Est gen ed 23 pos'!AN$123</f>
        <v>2.0000019111157443</v>
      </c>
      <c r="AO9" s="43">
        <f>'Est gen ed 23 $$'!AO9/'Est gen ed 23 pos'!AO$123</f>
        <v>0</v>
      </c>
      <c r="AP9" s="34">
        <f>VLOOKUP($A9,'[1]Init $$'!$B$3:$CG$118,42,FALSE)</f>
        <v>292079.7</v>
      </c>
      <c r="AQ9" s="34">
        <f>VLOOKUP($A9,'[1]Init $$'!$B$3:$CG$118,43,FALSE)</f>
        <v>0</v>
      </c>
      <c r="AR9" s="43">
        <f>'Est gen ed 23 $$'!AR9/'Est gen ed 23 pos'!AR$123</f>
        <v>1</v>
      </c>
      <c r="AS9" s="43">
        <f>'Est gen ed 23 $$'!AS9/'Est gen ed 23 pos'!AS$123</f>
        <v>0</v>
      </c>
      <c r="AT9" s="43">
        <f>'Est gen ed 23 $$'!AT9/'Est gen ed 23 pos'!AT$123</f>
        <v>0</v>
      </c>
      <c r="AU9" s="34">
        <f>VLOOKUP($A9,'[1]Init $$'!$B$3:$CG$118,47,FALSE)</f>
        <v>19710.900000000001</v>
      </c>
      <c r="AV9" s="34">
        <f>VLOOKUP($A9,'[1]Init $$'!$B$3:$CG$118,48,FALSE)</f>
        <v>0</v>
      </c>
      <c r="AW9" s="34">
        <f>VLOOKUP($A9,'[1]Init $$'!$B$3:$CG$118,49,FALSE)</f>
        <v>0</v>
      </c>
      <c r="AX9" s="34">
        <f>VLOOKUP($A9,'[1]Init $$'!$B$3:$CG$118,50,FALSE)</f>
        <v>0</v>
      </c>
      <c r="AY9" s="34">
        <f>VLOOKUP($A9,'[1]Init $$'!$B$3:$CG$118,51,FALSE)</f>
        <v>70000</v>
      </c>
      <c r="AZ9" s="34">
        <f>VLOOKUP($A9,'[1]Init $$'!$B$3:$CG$118,52,FALSE)</f>
        <v>0</v>
      </c>
      <c r="BA9" s="34">
        <f>VLOOKUP($A9,'[1]Init $$'!$B$3:$CG$118,53,FALSE)</f>
        <v>0</v>
      </c>
      <c r="BB9" s="34">
        <f>VLOOKUP($A9,'[1]Init $$'!$B$3:$CG$118,54,FALSE)</f>
        <v>0</v>
      </c>
      <c r="BC9" s="34">
        <f>VLOOKUP($A9,'[1]Init $$'!$B$3:$CG$118,55,FALSE)</f>
        <v>363673.75</v>
      </c>
      <c r="BD9" s="34">
        <f>VLOOKUP($A9,'[1]Init $$'!$B$3:$CG$118,56,FALSE)</f>
        <v>5857.89</v>
      </c>
      <c r="BE9" s="34">
        <f>VLOOKUP($A9,'[1]Init $$'!$B$3:$CG$118,57,FALSE)</f>
        <v>0</v>
      </c>
      <c r="BF9" s="43">
        <f>'Est gen ed 23 $$'!BF9/'Est gen ed 23 pos'!BF$123</f>
        <v>0</v>
      </c>
      <c r="BG9" s="43">
        <f>'Est gen ed 23 $$'!BG9/'Est gen ed 23 pos'!BG$123</f>
        <v>0.99999886478304745</v>
      </c>
      <c r="BH9" s="34">
        <f>VLOOKUP($A9,'[1]Init $$'!$B$3:$CG$118,60,FALSE)</f>
        <v>23216.09</v>
      </c>
      <c r="BI9" s="34">
        <f>VLOOKUP($A9,'[1]Init $$'!$B$3:$CG$118,61,FALSE)</f>
        <v>22000</v>
      </c>
      <c r="BJ9" s="34">
        <f>VLOOKUP($A9,'[1]Init $$'!$B$3:$CG$118,62,FALSE)</f>
        <v>50800</v>
      </c>
      <c r="BK9" s="43">
        <f>'Est gen ed 23 $$'!BK9/'Est gen ed 23 pos'!BK$123</f>
        <v>0</v>
      </c>
      <c r="BL9" s="34">
        <f>VLOOKUP($A9,'[1]Init $$'!$B$3:$CG$118,64,FALSE)</f>
        <v>0</v>
      </c>
      <c r="BM9" s="43">
        <f>'Est gen ed 23 $$'!BM9/'Est gen ed 23 pos'!BM$123</f>
        <v>0</v>
      </c>
      <c r="BN9" s="34">
        <f>VLOOKUP($A9,'[1]Init $$'!$B$3:$CG$118,66,FALSE)</f>
        <v>0</v>
      </c>
      <c r="BO9" s="43">
        <f>'Est gen ed 23 $$'!BO9/'Est gen ed 23 pos'!BO$123</f>
        <v>0</v>
      </c>
      <c r="BP9" s="34">
        <f>VLOOKUP($A9,'[1]Init $$'!$B$3:$CG$118,68,FALSE)</f>
        <v>0</v>
      </c>
      <c r="BQ9" s="43">
        <f>'Est gen ed 23 $$'!BQ9/'Est gen ed 23 pos'!BQ$123</f>
        <v>1</v>
      </c>
      <c r="BR9" s="43">
        <f>'Est gen ed 23 $$'!BR9/'Est gen ed 23 pos'!BR$123</f>
        <v>0</v>
      </c>
      <c r="BS9" s="34">
        <f>VLOOKUP($A9,'[1]Init $$'!$B$3:$CG$118,71,FALSE)</f>
        <v>140941</v>
      </c>
      <c r="BT9" s="34">
        <f>VLOOKUP($A9,'[1]Init $$'!$B$3:$CG$118,72,FALSE)</f>
        <v>5000</v>
      </c>
      <c r="BU9" s="34">
        <f>VLOOKUP($A9,'[1]Init $$'!$B$3:$CG$118,73,FALSE)</f>
        <v>0</v>
      </c>
      <c r="BV9" s="34">
        <f>VLOOKUP($A9,'[1]Init $$'!$B$3:$CG$118,74,FALSE)</f>
        <v>0</v>
      </c>
      <c r="BW9" s="34">
        <f>VLOOKUP($A9,'[1]Init $$'!$B$3:$CG$118,75,FALSE)</f>
        <v>132201</v>
      </c>
      <c r="BX9" s="43">
        <f>'Est gen ed 23 $$'!BX9/'Est gen ed 23 pos'!BX$123</f>
        <v>2.0000081824206442</v>
      </c>
      <c r="BY9" s="43">
        <f>'Est gen ed 23 $$'!BY9/'Est gen ed 23 pos'!BY$123</f>
        <v>1</v>
      </c>
      <c r="BZ9" s="43">
        <f>'Est gen ed 23 $$'!BZ9/'Est gen ed 23 pos'!BZ$123</f>
        <v>0</v>
      </c>
      <c r="CA9" s="34">
        <f>VLOOKUP($A9,'[1]Init $$'!$B$3:$CG$118,79,FALSE)</f>
        <v>1714120.06</v>
      </c>
      <c r="CB9" s="34">
        <f>VLOOKUP($A9,'[1]Init $$'!$B$3:$CG$118,80,FALSE)</f>
        <v>483574.08</v>
      </c>
      <c r="CC9" s="34">
        <f>VLOOKUP($A9,'[1]Init $$'!$B$3:$CG$118,81,FALSE)</f>
        <v>0</v>
      </c>
      <c r="CD9" s="34">
        <f>VLOOKUP($A9,'[1]Init $$'!$B$3:$CG$118,82,FALSE)</f>
        <v>0</v>
      </c>
      <c r="CE9" s="34">
        <f>VLOOKUP($A9,'[1]Init $$'!$B$3:$CG$118,83,FALSE)</f>
        <v>0</v>
      </c>
      <c r="CF9" s="34">
        <f>VLOOKUP($A9,'[1]Init $$'!$B$3:$CG$118,84,FALSE)</f>
        <v>0</v>
      </c>
      <c r="CJ9" s="28">
        <f t="shared" si="2"/>
        <v>7762989.8747111168</v>
      </c>
      <c r="CK9" s="43">
        <f>'Est gen ed 23 $$'!CK9/'Est gen ed 23 pos'!CK$123</f>
        <v>0.99999604682144683</v>
      </c>
      <c r="CL9" s="43">
        <f>'Est gen ed 23 $$'!CL9/'Est gen ed 23 pos'!CL$123</f>
        <v>2.2400000000000002</v>
      </c>
      <c r="CM9" s="43">
        <f>'Est gen ed 23 $$'!CM9/'Est gen ed 23 pos'!CM$123</f>
        <v>1</v>
      </c>
      <c r="CN9" s="43">
        <f>'Est gen ed 23 $$'!CN9/'Est gen ed 23 pos'!CN$123</f>
        <v>0.59523809523809523</v>
      </c>
      <c r="CO9" s="43">
        <f>'Est gen ed 23 $$'!CO9/'Est gen ed 23 pos'!CO$123</f>
        <v>1</v>
      </c>
      <c r="CP9" s="43">
        <f>'Est gen ed 23 $$'!CP9/'Est gen ed 23 pos'!CP$123</f>
        <v>1</v>
      </c>
      <c r="CQ9" s="43">
        <f>'Est gen ed 23 $$'!CQ9/'Est gen ed 23 pos'!CQ$123</f>
        <v>0</v>
      </c>
      <c r="CR9" s="43">
        <f>'Est gen ed 23 $$'!CR9/'Est gen ed 23 pos'!CR$123</f>
        <v>0</v>
      </c>
      <c r="CS9" s="43">
        <f>'Est gen ed 23 $$'!CS9/'Est gen ed 23 pos'!CS$123</f>
        <v>0</v>
      </c>
      <c r="CT9" s="43">
        <f>'Est gen ed 23 $$'!CT9/'Est gen ed 23 pos'!CT$123</f>
        <v>0</v>
      </c>
      <c r="CU9" s="43">
        <f>'Est gen ed 23 $$'!CU9/'Est gen ed 23 pos'!CU$123</f>
        <v>40</v>
      </c>
      <c r="CZ9" s="43">
        <f>'Est gen ed 23 $$'!CW9/'Est gen ed 23 pos'!CZ$123</f>
        <v>0.9999965685612755</v>
      </c>
      <c r="DB9" s="28">
        <f t="shared" si="3"/>
        <v>4013856</v>
      </c>
      <c r="DC9" s="28">
        <f t="shared" si="0"/>
        <v>0</v>
      </c>
      <c r="DK9" s="34"/>
      <c r="DL9" s="34"/>
    </row>
    <row r="10" spans="1:137" x14ac:dyDescent="0.2">
      <c r="A10">
        <v>462</v>
      </c>
      <c r="B10" t="s">
        <v>120</v>
      </c>
      <c r="C10" t="s">
        <v>1</v>
      </c>
      <c r="D10">
        <v>8</v>
      </c>
      <c r="E10">
        <f>VLOOKUP($A10,'[1]Init $$'!$B$3:$CG$118,4,FALSE)</f>
        <v>441</v>
      </c>
      <c r="F10">
        <f>VLOOKUP($A10,'[1]Init $$'!$B$3:$CG$118,6,FALSE)</f>
        <v>441</v>
      </c>
      <c r="G10">
        <f>VLOOKUP($A10,'[2]$$xSchpostCouncilxLevel'!$A$4:$EW$120,153,FALSE)</f>
        <v>469</v>
      </c>
      <c r="H10" s="50">
        <f t="shared" si="1"/>
        <v>-28</v>
      </c>
      <c r="I10" s="4">
        <f>VLOOKUP($A10,'[1]Init $$'!$B$3:$CG$118,8,FALSE)</f>
        <v>0.54648526077097503</v>
      </c>
      <c r="J10">
        <f>VLOOKUP($A10,'[1]Init $$'!$B$3:$CG$118,7,FALSE)</f>
        <v>241</v>
      </c>
      <c r="K10" s="43">
        <f>'Est gen ed 23 $$'!K10/'Est gen ed 23 pos'!K$123</f>
        <v>1</v>
      </c>
      <c r="L10" s="43">
        <f>'Est gen ed 23 $$'!L10/'Est gen ed 23 pos'!L$123</f>
        <v>0</v>
      </c>
      <c r="M10" s="43">
        <f>'Est gen ed 23 $$'!M10/'Est gen ed 23 pos'!M$123</f>
        <v>0.99999945493478681</v>
      </c>
      <c r="N10" s="43">
        <f>'Est gen ed 23 $$'!N10/'Est gen ed 23 pos'!N$123</f>
        <v>1</v>
      </c>
      <c r="O10" s="34">
        <f>VLOOKUP($A10,'[1]Init $$'!$B$3:$CG$118,15,FALSE)</f>
        <v>7706</v>
      </c>
      <c r="P10" s="43">
        <f>'Est gen ed 23 $$'!P10/'Est gen ed 23 pos'!P$123</f>
        <v>1</v>
      </c>
      <c r="Q10" s="43">
        <f>'Est gen ed 23 $$'!Q10/'Est gen ed 23 pos'!Q$123</f>
        <v>1</v>
      </c>
      <c r="R10" s="43">
        <f>'Est gen ed 23 $$'!R10/'Est gen ed 23 pos'!R$123</f>
        <v>2.0000001953611113</v>
      </c>
      <c r="S10" s="43">
        <f>'Est gen ed 23 $$'!S10/'Est gen ed 23 pos'!S$123</f>
        <v>1</v>
      </c>
      <c r="T10" s="43">
        <f>'Est gen ed 23 $$'!T10/'Est gen ed 23 pos'!T$123</f>
        <v>0</v>
      </c>
      <c r="U10" s="43">
        <f>'Est gen ed 23 $$'!U10/'Est gen ed 23 pos'!U$123</f>
        <v>0</v>
      </c>
      <c r="V10" s="43">
        <f>'Est gen ed 23 $$'!V10/'Est gen ed 23 pos'!V$123</f>
        <v>0</v>
      </c>
      <c r="W10" s="43">
        <f>'Est gen ed 23 $$'!W10/'Est gen ed 23 pos'!W$123</f>
        <v>0</v>
      </c>
      <c r="X10" s="34">
        <f>VLOOKUP($A10,'[1]Init $$'!$B$3:$CG$118,24,FALSE)</f>
        <v>0</v>
      </c>
      <c r="Y10" s="34">
        <f>VLOOKUP($A10,'[1]Init $$'!$B$3:$CG$118,25,FALSE)</f>
        <v>0</v>
      </c>
      <c r="Z10" s="34">
        <f>VLOOKUP($A10,'[1]Init $$'!$B$3:$CG$118,26,FALSE)</f>
        <v>0</v>
      </c>
      <c r="AA10" s="34">
        <f>VLOOKUP($A10,'[1]Init $$'!$B$3:$CG$118,27,FALSE)</f>
        <v>0</v>
      </c>
      <c r="AB10" s="43">
        <f>'Est gen ed 23 $$'!AB10/'Est gen ed 23 pos'!AB$123</f>
        <v>1.9999999121515879</v>
      </c>
      <c r="AC10" s="43">
        <f>'Est gen ed 23 $$'!AC10/'Est gen ed 23 pos'!AC$123</f>
        <v>2.264114494592711</v>
      </c>
      <c r="AD10" s="43">
        <f>'Est gen ed 23 $$'!AD10/'Est gen ed 23 pos'!AD$123</f>
        <v>0</v>
      </c>
      <c r="AE10" s="43">
        <f>'Est gen ed 23 $$'!AE10/'Est gen ed 23 pos'!AE$123</f>
        <v>0</v>
      </c>
      <c r="AF10" s="34">
        <f>VLOOKUP($A10,'[1]Init $$'!$B$3:$CG$118,32,FALSE)</f>
        <v>2634093</v>
      </c>
      <c r="AG10" s="34">
        <f>VLOOKUP($A10,'[1]Init $$'!$B$3:$CG$118,33,FALSE)</f>
        <v>261513</v>
      </c>
      <c r="AH10" s="43">
        <f>'Est gen ed 23 $$'!AH10/'Est gen ed 23 pos'!AH$123</f>
        <v>1</v>
      </c>
      <c r="AI10" s="43">
        <f>'Est gen ed 23 $$'!AI10/'Est gen ed 23 pos'!AI$123</f>
        <v>2.9999999121515879</v>
      </c>
      <c r="AJ10" s="43">
        <f>'Est gen ed 23 $$'!AJ10/'Est gen ed 23 pos'!AJ$123</f>
        <v>6.9999997364547637</v>
      </c>
      <c r="AK10" s="43">
        <f>'Est gen ed 23 $$'!AK10/'Est gen ed 23 pos'!AK$123</f>
        <v>1.9999999121515879</v>
      </c>
      <c r="AL10" s="43">
        <f>'Est gen ed 23 $$'!AL10/'Est gen ed 23 pos'!AL$123</f>
        <v>1.9999997446793083</v>
      </c>
      <c r="AM10" s="43">
        <f>'Est gen ed 23 $$'!AM10/'Est gen ed 23 pos'!AM$123</f>
        <v>0</v>
      </c>
      <c r="AN10" s="43">
        <f>'Est gen ed 23 $$'!AN10/'Est gen ed 23 pos'!AN$123</f>
        <v>1.0000010424267696</v>
      </c>
      <c r="AO10" s="43">
        <f>'Est gen ed 23 $$'!AO10/'Est gen ed 23 pos'!AO$123</f>
        <v>0</v>
      </c>
      <c r="AP10" s="34">
        <f>VLOOKUP($A10,'[1]Init $$'!$B$3:$CG$118,42,FALSE)</f>
        <v>125433</v>
      </c>
      <c r="AQ10" s="34">
        <f>VLOOKUP($A10,'[1]Init $$'!$B$3:$CG$118,43,FALSE)</f>
        <v>0</v>
      </c>
      <c r="AR10" s="43">
        <f>'Est gen ed 23 $$'!AR10/'Est gen ed 23 pos'!AR$123</f>
        <v>0</v>
      </c>
      <c r="AS10" s="43">
        <f>'Est gen ed 23 $$'!AS10/'Est gen ed 23 pos'!AS$123</f>
        <v>8.9999995607579389E-2</v>
      </c>
      <c r="AT10" s="43">
        <f>'Est gen ed 23 $$'!AT10/'Est gen ed 23 pos'!AT$123</f>
        <v>0</v>
      </c>
      <c r="AU10" s="34">
        <f>VLOOKUP($A10,'[1]Init $$'!$B$3:$CG$118,47,FALSE)</f>
        <v>3583.8</v>
      </c>
      <c r="AV10" s="34">
        <f>VLOOKUP($A10,'[1]Init $$'!$B$3:$CG$118,48,FALSE)</f>
        <v>0</v>
      </c>
      <c r="AW10" s="34">
        <f>VLOOKUP($A10,'[1]Init $$'!$B$3:$CG$118,49,FALSE)</f>
        <v>0</v>
      </c>
      <c r="AX10" s="34">
        <f>VLOOKUP($A10,'[1]Init $$'!$B$3:$CG$118,50,FALSE)</f>
        <v>0</v>
      </c>
      <c r="AY10" s="34">
        <f>VLOOKUP($A10,'[1]Init $$'!$B$3:$CG$118,51,FALSE)</f>
        <v>70000</v>
      </c>
      <c r="AZ10" s="34">
        <f>VLOOKUP($A10,'[1]Init $$'!$B$3:$CG$118,52,FALSE)</f>
        <v>0</v>
      </c>
      <c r="BA10" s="34">
        <f>VLOOKUP($A10,'[1]Init $$'!$B$3:$CG$118,53,FALSE)</f>
        <v>0</v>
      </c>
      <c r="BB10" s="34">
        <f>VLOOKUP($A10,'[1]Init $$'!$B$3:$CG$118,54,FALSE)</f>
        <v>0</v>
      </c>
      <c r="BC10" s="34">
        <f>VLOOKUP($A10,'[1]Init $$'!$B$3:$CG$118,55,FALSE)</f>
        <v>0</v>
      </c>
      <c r="BD10" s="34">
        <f>VLOOKUP($A10,'[1]Init $$'!$B$3:$CG$118,56,FALSE)</f>
        <v>0</v>
      </c>
      <c r="BE10" s="34">
        <f>VLOOKUP($A10,'[1]Init $$'!$B$3:$CG$118,57,FALSE)</f>
        <v>11025</v>
      </c>
      <c r="BF10" s="43">
        <f>'Est gen ed 23 $$'!BF10/'Est gen ed 23 pos'!BF$123</f>
        <v>0</v>
      </c>
      <c r="BG10" s="43">
        <f>'Est gen ed 23 $$'!BG10/'Est gen ed 23 pos'!BG$123</f>
        <v>0</v>
      </c>
      <c r="BH10" s="34">
        <f>VLOOKUP($A10,'[1]Init $$'!$B$3:$CG$118,60,FALSE)</f>
        <v>0</v>
      </c>
      <c r="BI10" s="34">
        <f>VLOOKUP($A10,'[1]Init $$'!$B$3:$CG$118,61,FALSE)</f>
        <v>0</v>
      </c>
      <c r="BJ10" s="34">
        <f>VLOOKUP($A10,'[1]Init $$'!$B$3:$CG$118,62,FALSE)</f>
        <v>0</v>
      </c>
      <c r="BK10" s="43">
        <f>'Est gen ed 23 $$'!BK10/'Est gen ed 23 pos'!BK$123</f>
        <v>0</v>
      </c>
      <c r="BL10" s="34">
        <f>VLOOKUP($A10,'[1]Init $$'!$B$3:$CG$118,64,FALSE)</f>
        <v>0</v>
      </c>
      <c r="BM10" s="43">
        <f>'Est gen ed 23 $$'!BM10/'Est gen ed 23 pos'!BM$123</f>
        <v>0</v>
      </c>
      <c r="BN10" s="34">
        <f>VLOOKUP($A10,'[1]Init $$'!$B$3:$CG$118,66,FALSE)</f>
        <v>0</v>
      </c>
      <c r="BO10" s="43">
        <f>'Est gen ed 23 $$'!BO10/'Est gen ed 23 pos'!BO$123</f>
        <v>0</v>
      </c>
      <c r="BP10" s="34">
        <f>VLOOKUP($A10,'[1]Init $$'!$B$3:$CG$118,68,FALSE)</f>
        <v>0</v>
      </c>
      <c r="BQ10" s="43">
        <f>'Est gen ed 23 $$'!BQ10/'Est gen ed 23 pos'!BQ$123</f>
        <v>0</v>
      </c>
      <c r="BR10" s="43">
        <f>'Est gen ed 23 $$'!BR10/'Est gen ed 23 pos'!BR$123</f>
        <v>0</v>
      </c>
      <c r="BS10" s="34">
        <f>VLOOKUP($A10,'[1]Init $$'!$B$3:$CG$118,71,FALSE)</f>
        <v>0</v>
      </c>
      <c r="BT10" s="34">
        <f>VLOOKUP($A10,'[1]Init $$'!$B$3:$CG$118,72,FALSE)</f>
        <v>0</v>
      </c>
      <c r="BU10" s="34">
        <f>VLOOKUP($A10,'[1]Init $$'!$B$3:$CG$118,73,FALSE)</f>
        <v>0</v>
      </c>
      <c r="BV10" s="34">
        <f>VLOOKUP($A10,'[1]Init $$'!$B$3:$CG$118,74,FALSE)</f>
        <v>0</v>
      </c>
      <c r="BW10" s="34">
        <f>VLOOKUP($A10,'[1]Init $$'!$B$3:$CG$118,75,FALSE)</f>
        <v>0</v>
      </c>
      <c r="BX10" s="43">
        <f>'Est gen ed 23 $$'!BX10/'Est gen ed 23 pos'!BX$123</f>
        <v>0</v>
      </c>
      <c r="BY10" s="43">
        <f>'Est gen ed 23 $$'!BY10/'Est gen ed 23 pos'!BY$123</f>
        <v>0</v>
      </c>
      <c r="BZ10" s="43">
        <f>'Est gen ed 23 $$'!BZ10/'Est gen ed 23 pos'!BZ$123</f>
        <v>0</v>
      </c>
      <c r="CA10" s="34">
        <f>VLOOKUP($A10,'[1]Init $$'!$B$3:$CG$118,79,FALSE)</f>
        <v>808104.33</v>
      </c>
      <c r="CB10" s="34">
        <f>VLOOKUP($A10,'[1]Init $$'!$B$3:$CG$118,80,FALSE)</f>
        <v>77171.16</v>
      </c>
      <c r="CC10" s="34">
        <f>VLOOKUP($A10,'[1]Init $$'!$B$3:$CG$118,81,FALSE)</f>
        <v>0</v>
      </c>
      <c r="CD10" s="34">
        <f>VLOOKUP($A10,'[1]Init $$'!$B$3:$CG$118,82,FALSE)</f>
        <v>0</v>
      </c>
      <c r="CE10" s="34">
        <f>VLOOKUP($A10,'[1]Init $$'!$B$3:$CG$118,83,FALSE)</f>
        <v>0</v>
      </c>
      <c r="CF10" s="34">
        <f>VLOOKUP($A10,'[1]Init $$'!$B$3:$CG$118,84,FALSE)</f>
        <v>0</v>
      </c>
      <c r="CJ10" s="28">
        <f t="shared" si="2"/>
        <v>3998657.6441144007</v>
      </c>
      <c r="CK10" s="43">
        <f>'Est gen ed 23 $$'!CK10/'Est gen ed 23 pos'!CK$123</f>
        <v>0.99999604682144683</v>
      </c>
      <c r="CL10" s="43">
        <f>'Est gen ed 23 $$'!CL10/'Est gen ed 23 pos'!CL$123</f>
        <v>1.47</v>
      </c>
      <c r="CM10" s="43">
        <f>'Est gen ed 23 $$'!CM10/'Est gen ed 23 pos'!CM$123</f>
        <v>1</v>
      </c>
      <c r="CN10" s="43">
        <f>'Est gen ed 23 $$'!CN10/'Est gen ed 23 pos'!CN$123</f>
        <v>0.90702947845804993</v>
      </c>
      <c r="CO10" s="43">
        <f>'Est gen ed 23 $$'!CO10/'Est gen ed 23 pos'!CO$123</f>
        <v>1</v>
      </c>
      <c r="CP10" s="43">
        <f>'Est gen ed 23 $$'!CP10/'Est gen ed 23 pos'!CP$123</f>
        <v>1</v>
      </c>
      <c r="CQ10" s="43">
        <f>'Est gen ed 23 $$'!CQ10/'Est gen ed 23 pos'!CQ$123</f>
        <v>0</v>
      </c>
      <c r="CR10" s="43">
        <f>'Est gen ed 23 $$'!CR10/'Est gen ed 23 pos'!CR$123</f>
        <v>0</v>
      </c>
      <c r="CS10" s="43">
        <f>'Est gen ed 23 $$'!CS10/'Est gen ed 23 pos'!CS$123</f>
        <v>0</v>
      </c>
      <c r="CT10" s="43">
        <f>'Est gen ed 23 $$'!CT10/'Est gen ed 23 pos'!CT$123</f>
        <v>0</v>
      </c>
      <c r="CU10" s="43">
        <f>'Est gen ed 23 $$'!CU10/'Est gen ed 23 pos'!CU$123</f>
        <v>17</v>
      </c>
      <c r="CZ10" s="43">
        <f>'Est gen ed 23 $$'!CW10/'Est gen ed 23 pos'!CZ$123</f>
        <v>0</v>
      </c>
      <c r="DB10" s="28">
        <f t="shared" si="3"/>
        <v>2634093</v>
      </c>
      <c r="DC10" s="28">
        <f t="shared" si="0"/>
        <v>0</v>
      </c>
      <c r="DK10" s="34"/>
      <c r="DL10" s="34"/>
    </row>
    <row r="11" spans="1:137" x14ac:dyDescent="0.2">
      <c r="A11">
        <v>204</v>
      </c>
      <c r="B11" t="s">
        <v>119</v>
      </c>
      <c r="C11" t="s">
        <v>7</v>
      </c>
      <c r="D11">
        <v>1</v>
      </c>
      <c r="E11">
        <f>VLOOKUP($A11,'[1]Init $$'!$B$3:$CG$118,4,FALSE)</f>
        <v>711</v>
      </c>
      <c r="F11">
        <f>VLOOKUP($A11,'[1]Init $$'!$B$3:$CG$118,6,FALSE)</f>
        <v>609</v>
      </c>
      <c r="G11">
        <f>VLOOKUP($A11,'[2]$$xSchpostCouncilxLevel'!$A$4:$EW$120,153,FALSE)</f>
        <v>560</v>
      </c>
      <c r="H11" s="50">
        <f t="shared" si="1"/>
        <v>49</v>
      </c>
      <c r="I11" s="4">
        <f>VLOOKUP($A11,'[1]Init $$'!$B$3:$CG$118,8,FALSE)</f>
        <v>0.27285513361462727</v>
      </c>
      <c r="J11">
        <f>VLOOKUP($A11,'[1]Init $$'!$B$3:$CG$118,7,FALSE)</f>
        <v>194</v>
      </c>
      <c r="K11" s="43">
        <f>'Est gen ed 23 $$'!K11/'Est gen ed 23 pos'!K$123</f>
        <v>1</v>
      </c>
      <c r="L11" s="43">
        <f>'Est gen ed 23 $$'!L11/'Est gen ed 23 pos'!L$123</f>
        <v>0</v>
      </c>
      <c r="M11" s="43">
        <f>'Est gen ed 23 $$'!M11/'Est gen ed 23 pos'!M$123</f>
        <v>0</v>
      </c>
      <c r="N11" s="43">
        <f>'Est gen ed 23 $$'!N11/'Est gen ed 23 pos'!N$123</f>
        <v>1</v>
      </c>
      <c r="O11" s="34">
        <f>VLOOKUP($A11,'[1]Init $$'!$B$3:$CG$118,15,FALSE)</f>
        <v>9077.5499999999993</v>
      </c>
      <c r="P11" s="43">
        <f>'Est gen ed 23 $$'!P11/'Est gen ed 23 pos'!P$123</f>
        <v>1</v>
      </c>
      <c r="Q11" s="43">
        <f>'Est gen ed 23 $$'!Q11/'Est gen ed 23 pos'!Q$123</f>
        <v>1</v>
      </c>
      <c r="R11" s="43">
        <f>'Est gen ed 23 $$'!R11/'Est gen ed 23 pos'!R$123</f>
        <v>4.0000003907222226</v>
      </c>
      <c r="S11" s="43">
        <f>'Est gen ed 23 $$'!S11/'Est gen ed 23 pos'!S$123</f>
        <v>1</v>
      </c>
      <c r="T11" s="43">
        <f>'Est gen ed 23 $$'!T11/'Est gen ed 23 pos'!T$123</f>
        <v>2.9999999121515879</v>
      </c>
      <c r="U11" s="43">
        <f>'Est gen ed 23 $$'!U11/'Est gen ed 23 pos'!U$123</f>
        <v>0</v>
      </c>
      <c r="V11" s="43">
        <f>'Est gen ed 23 $$'!V11/'Est gen ed 23 pos'!V$123</f>
        <v>2.9999999121515879</v>
      </c>
      <c r="W11" s="43">
        <f>'Est gen ed 23 $$'!W11/'Est gen ed 23 pos'!W$123</f>
        <v>5.9999994893586166</v>
      </c>
      <c r="X11" s="34">
        <f>VLOOKUP($A11,'[1]Init $$'!$B$3:$CG$118,24,FALSE)</f>
        <v>182773.8</v>
      </c>
      <c r="Y11" s="34">
        <f>VLOOKUP($A11,'[1]Init $$'!$B$3:$CG$118,25,FALSE)</f>
        <v>0</v>
      </c>
      <c r="Z11" s="34">
        <f>VLOOKUP($A11,'[1]Init $$'!$B$3:$CG$118,26,FALSE)</f>
        <v>0</v>
      </c>
      <c r="AA11" s="34">
        <f>VLOOKUP($A11,'[1]Init $$'!$B$3:$CG$118,27,FALSE)</f>
        <v>0</v>
      </c>
      <c r="AB11" s="43">
        <f>'Est gen ed 23 $$'!AB11/'Est gen ed 23 pos'!AB$123</f>
        <v>0</v>
      </c>
      <c r="AC11" s="43">
        <f>'Est gen ed 23 $$'!AC11/'Est gen ed 23 pos'!AC$123</f>
        <v>0</v>
      </c>
      <c r="AD11" s="43">
        <f>'Est gen ed 23 $$'!AD11/'Est gen ed 23 pos'!AD$123</f>
        <v>0</v>
      </c>
      <c r="AE11" s="43">
        <f>'Est gen ed 23 $$'!AE11/'Est gen ed 23 pos'!AE$123</f>
        <v>0</v>
      </c>
      <c r="AF11" s="34">
        <f>VLOOKUP($A11,'[1]Init $$'!$B$3:$CG$118,32,FALSE)</f>
        <v>3637557</v>
      </c>
      <c r="AG11" s="34">
        <f>VLOOKUP($A11,'[1]Init $$'!$B$3:$CG$118,33,FALSE)</f>
        <v>231075</v>
      </c>
      <c r="AH11" s="43">
        <f>'Est gen ed 23 $$'!AH11/'Est gen ed 23 pos'!AH$123</f>
        <v>1</v>
      </c>
      <c r="AI11" s="43">
        <f>'Est gen ed 23 $$'!AI11/'Est gen ed 23 pos'!AI$123</f>
        <v>1.9999999121515879</v>
      </c>
      <c r="AJ11" s="43">
        <f>'Est gen ed 23 $$'!AJ11/'Est gen ed 23 pos'!AJ$123</f>
        <v>5.9999998243031758</v>
      </c>
      <c r="AK11" s="43">
        <f>'Est gen ed 23 $$'!AK11/'Est gen ed 23 pos'!AK$123</f>
        <v>2.9999999121515879</v>
      </c>
      <c r="AL11" s="43">
        <f>'Est gen ed 23 $$'!AL11/'Est gen ed 23 pos'!AL$123</f>
        <v>4.9999994893586166</v>
      </c>
      <c r="AM11" s="43">
        <f>'Est gen ed 23 $$'!AM11/'Est gen ed 23 pos'!AM$123</f>
        <v>0</v>
      </c>
      <c r="AN11" s="43">
        <f>'Est gen ed 23 $$'!AN11/'Est gen ed 23 pos'!AN$123</f>
        <v>0</v>
      </c>
      <c r="AO11" s="43">
        <f>'Est gen ed 23 $$'!AO11/'Est gen ed 23 pos'!AO$123</f>
        <v>0</v>
      </c>
      <c r="AP11" s="34">
        <f>VLOOKUP($A11,'[1]Init $$'!$B$3:$CG$118,42,FALSE)</f>
        <v>177398.1</v>
      </c>
      <c r="AQ11" s="34">
        <f>VLOOKUP($A11,'[1]Init $$'!$B$3:$CG$118,43,FALSE)</f>
        <v>0</v>
      </c>
      <c r="AR11" s="43">
        <f>'Est gen ed 23 $$'!AR11/'Est gen ed 23 pos'!AR$123</f>
        <v>16.999999385061116</v>
      </c>
      <c r="AS11" s="43">
        <f>'Est gen ed 23 $$'!AS11/'Est gen ed 23 pos'!AS$123</f>
        <v>0</v>
      </c>
      <c r="AT11" s="43">
        <f>'Est gen ed 23 $$'!AT11/'Est gen ed 23 pos'!AT$123</f>
        <v>1.9999997446793083</v>
      </c>
      <c r="AU11" s="34">
        <f>VLOOKUP($A11,'[1]Init $$'!$B$3:$CG$118,47,FALSE)</f>
        <v>652251.6</v>
      </c>
      <c r="AV11" s="34">
        <f>VLOOKUP($A11,'[1]Init $$'!$B$3:$CG$118,48,FALSE)</f>
        <v>13600</v>
      </c>
      <c r="AW11" s="34">
        <f>VLOOKUP($A11,'[1]Init $$'!$B$3:$CG$118,49,FALSE)</f>
        <v>13600</v>
      </c>
      <c r="AX11" s="34">
        <f>VLOOKUP($A11,'[1]Init $$'!$B$3:$CG$118,50,FALSE)</f>
        <v>10200</v>
      </c>
      <c r="AY11" s="34">
        <f>VLOOKUP($A11,'[1]Init $$'!$B$3:$CG$118,51,FALSE)</f>
        <v>0</v>
      </c>
      <c r="AZ11" s="34">
        <f>VLOOKUP($A11,'[1]Init $$'!$B$3:$CG$118,52,FALSE)</f>
        <v>13600</v>
      </c>
      <c r="BA11" s="34">
        <f>VLOOKUP($A11,'[1]Init $$'!$B$3:$CG$118,53,FALSE)</f>
        <v>0</v>
      </c>
      <c r="BB11" s="34">
        <f>VLOOKUP($A11,'[1]Init $$'!$B$3:$CG$118,54,FALSE)</f>
        <v>13600</v>
      </c>
      <c r="BC11" s="34">
        <f>VLOOKUP($A11,'[1]Init $$'!$B$3:$CG$118,55,FALSE)</f>
        <v>90918.44</v>
      </c>
      <c r="BD11" s="34">
        <f>VLOOKUP($A11,'[1]Init $$'!$B$3:$CG$118,56,FALSE)</f>
        <v>0</v>
      </c>
      <c r="BE11" s="34">
        <f>VLOOKUP($A11,'[1]Init $$'!$B$3:$CG$118,57,FALSE)</f>
        <v>0</v>
      </c>
      <c r="BF11" s="43">
        <f>'Est gen ed 23 $$'!BF11/'Est gen ed 23 pos'!BF$123</f>
        <v>0</v>
      </c>
      <c r="BG11" s="43">
        <f>'Est gen ed 23 $$'!BG11/'Est gen ed 23 pos'!BG$123</f>
        <v>0</v>
      </c>
      <c r="BH11" s="34">
        <f>VLOOKUP($A11,'[1]Init $$'!$B$3:$CG$118,60,FALSE)</f>
        <v>0</v>
      </c>
      <c r="BI11" s="34">
        <f>VLOOKUP($A11,'[1]Init $$'!$B$3:$CG$118,61,FALSE)</f>
        <v>0</v>
      </c>
      <c r="BJ11" s="34">
        <f>VLOOKUP($A11,'[1]Init $$'!$B$3:$CG$118,62,FALSE)</f>
        <v>0</v>
      </c>
      <c r="BK11" s="43">
        <f>'Est gen ed 23 $$'!BK11/'Est gen ed 23 pos'!BK$123</f>
        <v>0</v>
      </c>
      <c r="BL11" s="34">
        <f>VLOOKUP($A11,'[1]Init $$'!$B$3:$CG$118,64,FALSE)</f>
        <v>0</v>
      </c>
      <c r="BM11" s="43">
        <f>'Est gen ed 23 $$'!BM11/'Est gen ed 23 pos'!BM$123</f>
        <v>0</v>
      </c>
      <c r="BN11" s="34">
        <f>VLOOKUP($A11,'[1]Init $$'!$B$3:$CG$118,66,FALSE)</f>
        <v>0</v>
      </c>
      <c r="BO11" s="43">
        <f>'Est gen ed 23 $$'!BO11/'Est gen ed 23 pos'!BO$123</f>
        <v>0</v>
      </c>
      <c r="BP11" s="34">
        <f>VLOOKUP($A11,'[1]Init $$'!$B$3:$CG$118,68,FALSE)</f>
        <v>103400</v>
      </c>
      <c r="BQ11" s="43">
        <f>'Est gen ed 23 $$'!BQ11/'Est gen ed 23 pos'!BQ$123</f>
        <v>0</v>
      </c>
      <c r="BR11" s="43">
        <f>'Est gen ed 23 $$'!BR11/'Est gen ed 23 pos'!BR$123</f>
        <v>0</v>
      </c>
      <c r="BS11" s="34">
        <f>VLOOKUP($A11,'[1]Init $$'!$B$3:$CG$118,71,FALSE)</f>
        <v>0</v>
      </c>
      <c r="BT11" s="34">
        <f>VLOOKUP($A11,'[1]Init $$'!$B$3:$CG$118,72,FALSE)</f>
        <v>0</v>
      </c>
      <c r="BU11" s="34">
        <f>VLOOKUP($A11,'[1]Init $$'!$B$3:$CG$118,73,FALSE)</f>
        <v>0</v>
      </c>
      <c r="BV11" s="34">
        <f>VLOOKUP($A11,'[1]Init $$'!$B$3:$CG$118,74,FALSE)</f>
        <v>0</v>
      </c>
      <c r="BW11" s="34">
        <f>VLOOKUP($A11,'[1]Init $$'!$B$3:$CG$118,75,FALSE)</f>
        <v>0</v>
      </c>
      <c r="BX11" s="43">
        <f>'Est gen ed 23 $$'!BX11/'Est gen ed 23 pos'!BX$123</f>
        <v>0</v>
      </c>
      <c r="BY11" s="43">
        <f>'Est gen ed 23 $$'!BY11/'Est gen ed 23 pos'!BY$123</f>
        <v>0</v>
      </c>
      <c r="BZ11" s="43">
        <f>'Est gen ed 23 $$'!BZ11/'Est gen ed 23 pos'!BZ$123</f>
        <v>0</v>
      </c>
      <c r="CA11" s="34">
        <f>VLOOKUP($A11,'[1]Init $$'!$B$3:$CG$118,79,FALSE)</f>
        <v>520405.78</v>
      </c>
      <c r="CB11" s="34">
        <f>VLOOKUP($A11,'[1]Init $$'!$B$3:$CG$118,80,FALSE)</f>
        <v>0</v>
      </c>
      <c r="CC11" s="34">
        <f>VLOOKUP($A11,'[1]Init $$'!$B$3:$CG$118,81,FALSE)</f>
        <v>0</v>
      </c>
      <c r="CD11" s="34">
        <f>VLOOKUP($A11,'[1]Init $$'!$B$3:$CG$118,82,FALSE)</f>
        <v>0</v>
      </c>
      <c r="CE11" s="34">
        <f>VLOOKUP($A11,'[1]Init $$'!$B$3:$CG$118,83,FALSE)</f>
        <v>0</v>
      </c>
      <c r="CF11" s="34">
        <f>VLOOKUP($A11,'[1]Init $$'!$B$3:$CG$118,84,FALSE)</f>
        <v>0</v>
      </c>
      <c r="CJ11" s="28">
        <f t="shared" si="2"/>
        <v>5669514.2699979721</v>
      </c>
      <c r="CK11" s="43">
        <f>'Est gen ed 23 $$'!CK11/'Est gen ed 23 pos'!CK$123</f>
        <v>0.99999604682144683</v>
      </c>
      <c r="CL11" s="43">
        <f>'Est gen ed 23 $$'!CL11/'Est gen ed 23 pos'!CL$123</f>
        <v>1.7775000000000001</v>
      </c>
      <c r="CM11" s="43">
        <f>'Est gen ed 23 $$'!CM11/'Est gen ed 23 pos'!CM$123</f>
        <v>1</v>
      </c>
      <c r="CN11" s="43">
        <f>'Est gen ed 23 $$'!CN11/'Est gen ed 23 pos'!CN$123</f>
        <v>0.56258790436005623</v>
      </c>
      <c r="CO11" s="43">
        <f>'Est gen ed 23 $$'!CO11/'Est gen ed 23 pos'!CO$123</f>
        <v>0</v>
      </c>
      <c r="CP11" s="43">
        <f>'Est gen ed 23 $$'!CP11/'Est gen ed 23 pos'!CP$123</f>
        <v>0</v>
      </c>
      <c r="CQ11" s="43">
        <f>'Est gen ed 23 $$'!CQ11/'Est gen ed 23 pos'!CQ$123</f>
        <v>1.9999920936428937</v>
      </c>
      <c r="CR11" s="43">
        <f>'Est gen ed 23 $$'!CR11/'Est gen ed 23 pos'!CR$123</f>
        <v>1.9999920936428937</v>
      </c>
      <c r="CS11" s="43">
        <f>'Est gen ed 23 $$'!CS11/'Est gen ed 23 pos'!CS$123</f>
        <v>2.9999881404643403</v>
      </c>
      <c r="CT11" s="43">
        <f>'Est gen ed 23 $$'!CT11/'Est gen ed 23 pos'!CT$123</f>
        <v>4</v>
      </c>
      <c r="CU11" s="43">
        <f>'Est gen ed 23 $$'!CU11/'Est gen ed 23 pos'!CU$123</f>
        <v>31</v>
      </c>
      <c r="CZ11" s="43">
        <f>'Est gen ed 23 $$'!CW11/'Est gen ed 23 pos'!CZ$123</f>
        <v>0</v>
      </c>
      <c r="DB11" s="28">
        <f t="shared" si="3"/>
        <v>3637557</v>
      </c>
      <c r="DC11" s="28">
        <f t="shared" si="0"/>
        <v>0</v>
      </c>
      <c r="DK11" s="34"/>
      <c r="DL11" s="34"/>
    </row>
    <row r="12" spans="1:137" x14ac:dyDescent="0.2">
      <c r="A12">
        <v>1058</v>
      </c>
      <c r="B12" t="s">
        <v>118</v>
      </c>
      <c r="C12" t="s">
        <v>1</v>
      </c>
      <c r="D12">
        <v>7</v>
      </c>
      <c r="E12">
        <f>VLOOKUP($A12,'[1]Init $$'!$B$3:$CG$118,4,FALSE)</f>
        <v>500</v>
      </c>
      <c r="F12">
        <f>VLOOKUP($A12,'[1]Init $$'!$B$3:$CG$118,6,FALSE)</f>
        <v>500</v>
      </c>
      <c r="G12">
        <f>VLOOKUP($A12,'[2]$$xSchpostCouncilxLevel'!$A$4:$EW$120,153,FALSE)</f>
        <v>385</v>
      </c>
      <c r="H12" s="50">
        <f t="shared" si="1"/>
        <v>115</v>
      </c>
      <c r="I12" s="4">
        <f>VLOOKUP($A12,'[1]Init $$'!$B$3:$CG$118,8,FALSE)</f>
        <v>0.55200000000000005</v>
      </c>
      <c r="J12">
        <f>VLOOKUP($A12,'[1]Init $$'!$B$3:$CG$118,7,FALSE)</f>
        <v>276</v>
      </c>
      <c r="K12" s="43">
        <f>'Est gen ed 23 $$'!K12/'Est gen ed 23 pos'!K$123</f>
        <v>1</v>
      </c>
      <c r="L12" s="43">
        <f>'Est gen ed 23 $$'!L12/'Est gen ed 23 pos'!L$123</f>
        <v>0</v>
      </c>
      <c r="M12" s="43">
        <f>'Est gen ed 23 $$'!M12/'Est gen ed 23 pos'!M$123</f>
        <v>1.9999989098695736</v>
      </c>
      <c r="N12" s="43">
        <f>'Est gen ed 23 $$'!N12/'Est gen ed 23 pos'!N$123</f>
        <v>1</v>
      </c>
      <c r="O12" s="34">
        <f>VLOOKUP($A12,'[1]Init $$'!$B$3:$CG$118,15,FALSE)</f>
        <v>3918.72</v>
      </c>
      <c r="P12" s="43">
        <f>'Est gen ed 23 $$'!P12/'Est gen ed 23 pos'!P$123</f>
        <v>1</v>
      </c>
      <c r="Q12" s="43">
        <f>'Est gen ed 23 $$'!Q12/'Est gen ed 23 pos'!Q$123</f>
        <v>1</v>
      </c>
      <c r="R12" s="43">
        <f>'Est gen ed 23 $$'!R12/'Est gen ed 23 pos'!R$123</f>
        <v>3.0000001953611113</v>
      </c>
      <c r="S12" s="43">
        <f>'Est gen ed 23 $$'!S12/'Est gen ed 23 pos'!S$123</f>
        <v>1</v>
      </c>
      <c r="T12" s="43">
        <f>'Est gen ed 23 $$'!T12/'Est gen ed 23 pos'!T$123</f>
        <v>0</v>
      </c>
      <c r="U12" s="43">
        <f>'Est gen ed 23 $$'!U12/'Est gen ed 23 pos'!U$123</f>
        <v>0</v>
      </c>
      <c r="V12" s="43">
        <f>'Est gen ed 23 $$'!V12/'Est gen ed 23 pos'!V$123</f>
        <v>0</v>
      </c>
      <c r="W12" s="43">
        <f>'Est gen ed 23 $$'!W12/'Est gen ed 23 pos'!W$123</f>
        <v>0</v>
      </c>
      <c r="X12" s="34">
        <f>VLOOKUP($A12,'[1]Init $$'!$B$3:$CG$118,24,FALSE)</f>
        <v>0</v>
      </c>
      <c r="Y12" s="34">
        <f>VLOOKUP($A12,'[1]Init $$'!$B$3:$CG$118,25,FALSE)</f>
        <v>0</v>
      </c>
      <c r="Z12" s="34">
        <f>VLOOKUP($A12,'[1]Init $$'!$B$3:$CG$118,26,FALSE)</f>
        <v>0</v>
      </c>
      <c r="AA12" s="34">
        <f>VLOOKUP($A12,'[1]Init $$'!$B$3:$CG$118,27,FALSE)</f>
        <v>0</v>
      </c>
      <c r="AB12" s="43">
        <f>'Est gen ed 23 $$'!AB12/'Est gen ed 23 pos'!AB$123</f>
        <v>0</v>
      </c>
      <c r="AC12" s="43">
        <f>'Est gen ed 23 $$'!AC12/'Est gen ed 23 pos'!AC$123</f>
        <v>0</v>
      </c>
      <c r="AD12" s="43">
        <f>'Est gen ed 23 $$'!AD12/'Est gen ed 23 pos'!AD$123</f>
        <v>0</v>
      </c>
      <c r="AE12" s="43">
        <f>'Est gen ed 23 $$'!AE12/'Est gen ed 23 pos'!AE$123</f>
        <v>0</v>
      </c>
      <c r="AF12" s="34">
        <f>VLOOKUP($A12,'[1]Init $$'!$B$3:$CG$118,32,FALSE)</f>
        <v>2986500</v>
      </c>
      <c r="AG12" s="34">
        <f>VLOOKUP($A12,'[1]Init $$'!$B$3:$CG$118,33,FALSE)</f>
        <v>296500</v>
      </c>
      <c r="AH12" s="43">
        <f>'Est gen ed 23 $$'!AH12/'Est gen ed 23 pos'!AH$123</f>
        <v>1.4999999560757939</v>
      </c>
      <c r="AI12" s="43">
        <f>'Est gen ed 23 $$'!AI12/'Est gen ed 23 pos'!AI$123</f>
        <v>1.9999999121515879</v>
      </c>
      <c r="AJ12" s="43">
        <f>'Est gen ed 23 $$'!AJ12/'Est gen ed 23 pos'!AJ$123</f>
        <v>3.9999998243031758</v>
      </c>
      <c r="AK12" s="43">
        <f>'Est gen ed 23 $$'!AK12/'Est gen ed 23 pos'!AK$123</f>
        <v>0</v>
      </c>
      <c r="AL12" s="43">
        <f>'Est gen ed 23 $$'!AL12/'Est gen ed 23 pos'!AL$123</f>
        <v>0</v>
      </c>
      <c r="AM12" s="43">
        <f>'Est gen ed 23 $$'!AM12/'Est gen ed 23 pos'!AM$123</f>
        <v>0</v>
      </c>
      <c r="AN12" s="43">
        <f>'Est gen ed 23 $$'!AN12/'Est gen ed 23 pos'!AN$123</f>
        <v>0</v>
      </c>
      <c r="AO12" s="43">
        <f>'Est gen ed 23 $$'!AO12/'Est gen ed 23 pos'!AO$123</f>
        <v>0</v>
      </c>
      <c r="AP12" s="34">
        <f>VLOOKUP($A12,'[1]Init $$'!$B$3:$CG$118,42,FALSE)</f>
        <v>62716.5</v>
      </c>
      <c r="AQ12" s="34">
        <f>VLOOKUP($A12,'[1]Init $$'!$B$3:$CG$118,43,FALSE)</f>
        <v>0</v>
      </c>
      <c r="AR12" s="43">
        <f>'Est gen ed 23 $$'!AR12/'Est gen ed 23 pos'!AR$123</f>
        <v>0</v>
      </c>
      <c r="AS12" s="43">
        <f>'Est gen ed 23 $$'!AS12/'Est gen ed 23 pos'!AS$123</f>
        <v>0.13999997364547631</v>
      </c>
      <c r="AT12" s="43">
        <f>'Est gen ed 23 $$'!AT12/'Est gen ed 23 pos'!AT$123</f>
        <v>0</v>
      </c>
      <c r="AU12" s="34">
        <f>VLOOKUP($A12,'[1]Init $$'!$B$3:$CG$118,47,FALSE)</f>
        <v>5375.7</v>
      </c>
      <c r="AV12" s="34">
        <f>VLOOKUP($A12,'[1]Init $$'!$B$3:$CG$118,48,FALSE)</f>
        <v>0</v>
      </c>
      <c r="AW12" s="34">
        <f>VLOOKUP($A12,'[1]Init $$'!$B$3:$CG$118,49,FALSE)</f>
        <v>0</v>
      </c>
      <c r="AX12" s="34">
        <f>VLOOKUP($A12,'[1]Init $$'!$B$3:$CG$118,50,FALSE)</f>
        <v>0</v>
      </c>
      <c r="AY12" s="34">
        <f>VLOOKUP($A12,'[1]Init $$'!$B$3:$CG$118,51,FALSE)</f>
        <v>25000</v>
      </c>
      <c r="AZ12" s="34">
        <f>VLOOKUP($A12,'[1]Init $$'!$B$3:$CG$118,52,FALSE)</f>
        <v>0</v>
      </c>
      <c r="BA12" s="34">
        <f>VLOOKUP($A12,'[1]Init $$'!$B$3:$CG$118,53,FALSE)</f>
        <v>0</v>
      </c>
      <c r="BB12" s="34">
        <f>VLOOKUP($A12,'[1]Init $$'!$B$3:$CG$118,54,FALSE)</f>
        <v>0</v>
      </c>
      <c r="BC12" s="34">
        <f>VLOOKUP($A12,'[1]Init $$'!$B$3:$CG$118,55,FALSE)</f>
        <v>140274.16</v>
      </c>
      <c r="BD12" s="34">
        <f>VLOOKUP($A12,'[1]Init $$'!$B$3:$CG$118,56,FALSE)</f>
        <v>2259.4699999999998</v>
      </c>
      <c r="BE12" s="34">
        <f>VLOOKUP($A12,'[1]Init $$'!$B$3:$CG$118,57,FALSE)</f>
        <v>0</v>
      </c>
      <c r="BF12" s="43">
        <f>'Est gen ed 23 $$'!BF12/'Est gen ed 23 pos'!BF$123</f>
        <v>0</v>
      </c>
      <c r="BG12" s="43">
        <f>'Est gen ed 23 $$'!BG12/'Est gen ed 23 pos'!BG$123</f>
        <v>0</v>
      </c>
      <c r="BH12" s="34">
        <f>VLOOKUP($A12,'[1]Init $$'!$B$3:$CG$118,60,FALSE)</f>
        <v>0</v>
      </c>
      <c r="BI12" s="34">
        <f>VLOOKUP($A12,'[1]Init $$'!$B$3:$CG$118,61,FALSE)</f>
        <v>0</v>
      </c>
      <c r="BJ12" s="34">
        <f>VLOOKUP($A12,'[1]Init $$'!$B$3:$CG$118,62,FALSE)</f>
        <v>0</v>
      </c>
      <c r="BK12" s="43">
        <f>'Est gen ed 23 $$'!BK12/'Est gen ed 23 pos'!BK$123</f>
        <v>0</v>
      </c>
      <c r="BL12" s="34">
        <f>VLOOKUP($A12,'[1]Init $$'!$B$3:$CG$118,64,FALSE)</f>
        <v>0</v>
      </c>
      <c r="BM12" s="43">
        <f>'Est gen ed 23 $$'!BM12/'Est gen ed 23 pos'!BM$123</f>
        <v>0</v>
      </c>
      <c r="BN12" s="34">
        <f>VLOOKUP($A12,'[1]Init $$'!$B$3:$CG$118,66,FALSE)</f>
        <v>0</v>
      </c>
      <c r="BO12" s="43">
        <f>'Est gen ed 23 $$'!BO12/'Est gen ed 23 pos'!BO$123</f>
        <v>0</v>
      </c>
      <c r="BP12" s="34">
        <f>VLOOKUP($A12,'[1]Init $$'!$B$3:$CG$118,68,FALSE)</f>
        <v>0</v>
      </c>
      <c r="BQ12" s="43">
        <f>'Est gen ed 23 $$'!BQ12/'Est gen ed 23 pos'!BQ$123</f>
        <v>0</v>
      </c>
      <c r="BR12" s="43">
        <f>'Est gen ed 23 $$'!BR12/'Est gen ed 23 pos'!BR$123</f>
        <v>0</v>
      </c>
      <c r="BS12" s="34">
        <f>VLOOKUP($A12,'[1]Init $$'!$B$3:$CG$118,71,FALSE)</f>
        <v>0</v>
      </c>
      <c r="BT12" s="34">
        <f>VLOOKUP($A12,'[1]Init $$'!$B$3:$CG$118,72,FALSE)</f>
        <v>0</v>
      </c>
      <c r="BU12" s="34">
        <f>VLOOKUP($A12,'[1]Init $$'!$B$3:$CG$118,73,FALSE)</f>
        <v>0</v>
      </c>
      <c r="BV12" s="34">
        <f>VLOOKUP($A12,'[1]Init $$'!$B$3:$CG$118,74,FALSE)</f>
        <v>900000</v>
      </c>
      <c r="BW12" s="34">
        <f>VLOOKUP($A12,'[1]Init $$'!$B$3:$CG$118,75,FALSE)</f>
        <v>0</v>
      </c>
      <c r="BX12" s="43">
        <f>'Est gen ed 23 $$'!BX12/'Est gen ed 23 pos'!BX$123</f>
        <v>0</v>
      </c>
      <c r="BY12" s="43">
        <f>'Est gen ed 23 $$'!BY12/'Est gen ed 23 pos'!BY$123</f>
        <v>0</v>
      </c>
      <c r="BZ12" s="43">
        <f>'Est gen ed 23 $$'!BZ12/'Est gen ed 23 pos'!BZ$123</f>
        <v>0</v>
      </c>
      <c r="CA12" s="34">
        <f>VLOOKUP($A12,'[1]Init $$'!$B$3:$CG$118,79,FALSE)</f>
        <v>782620.54</v>
      </c>
      <c r="CB12" s="34">
        <f>VLOOKUP($A12,'[1]Init $$'!$B$3:$CG$118,80,FALSE)</f>
        <v>90789.6</v>
      </c>
      <c r="CC12" s="34">
        <f>VLOOKUP($A12,'[1]Init $$'!$B$3:$CG$118,81,FALSE)</f>
        <v>0</v>
      </c>
      <c r="CD12" s="34">
        <f>VLOOKUP($A12,'[1]Init $$'!$B$3:$CG$118,82,FALSE)</f>
        <v>0</v>
      </c>
      <c r="CE12" s="34">
        <f>VLOOKUP($A12,'[1]Init $$'!$B$3:$CG$118,83,FALSE)</f>
        <v>0</v>
      </c>
      <c r="CF12" s="34">
        <f>VLOOKUP($A12,'[1]Init $$'!$B$3:$CG$118,84,FALSE)</f>
        <v>0</v>
      </c>
      <c r="CJ12" s="28">
        <f t="shared" si="2"/>
        <v>5295972.3299987717</v>
      </c>
      <c r="CK12" s="43">
        <f>'Est gen ed 23 $$'!CK12/'Est gen ed 23 pos'!CK$123</f>
        <v>0.99999604682144683</v>
      </c>
      <c r="CL12" s="43">
        <f>'Est gen ed 23 $$'!CL12/'Est gen ed 23 pos'!CL$123</f>
        <v>1.6666666666666667</v>
      </c>
      <c r="CM12" s="43">
        <f>'Est gen ed 23 $$'!CM12/'Est gen ed 23 pos'!CM$123</f>
        <v>1</v>
      </c>
      <c r="CN12" s="43">
        <f>'Est gen ed 23 $$'!CN12/'Est gen ed 23 pos'!CN$123</f>
        <v>0.8</v>
      </c>
      <c r="CO12" s="43">
        <f>'Est gen ed 23 $$'!CO12/'Est gen ed 23 pos'!CO$123</f>
        <v>1</v>
      </c>
      <c r="CP12" s="43">
        <f>'Est gen ed 23 $$'!CP12/'Est gen ed 23 pos'!CP$123</f>
        <v>1</v>
      </c>
      <c r="CQ12" s="43">
        <f>'Est gen ed 23 $$'!CQ12/'Est gen ed 23 pos'!CQ$123</f>
        <v>0</v>
      </c>
      <c r="CR12" s="43">
        <f>'Est gen ed 23 $$'!CR12/'Est gen ed 23 pos'!CR$123</f>
        <v>0</v>
      </c>
      <c r="CS12" s="43">
        <f>'Est gen ed 23 $$'!CS12/'Est gen ed 23 pos'!CS$123</f>
        <v>0</v>
      </c>
      <c r="CT12" s="43">
        <f>'Est gen ed 23 $$'!CT12/'Est gen ed 23 pos'!CT$123</f>
        <v>0</v>
      </c>
      <c r="CU12" s="43">
        <f>'Est gen ed 23 $$'!CU12/'Est gen ed 23 pos'!CU$123</f>
        <v>30</v>
      </c>
      <c r="CZ12" s="43">
        <f>'Est gen ed 23 $$'!CW12/'Est gen ed 23 pos'!CZ$123</f>
        <v>0.9999965685612755</v>
      </c>
      <c r="DB12" s="28">
        <f t="shared" si="3"/>
        <v>3886500</v>
      </c>
      <c r="DC12" s="28">
        <f t="shared" si="0"/>
        <v>0</v>
      </c>
      <c r="DK12" s="34"/>
      <c r="DL12" s="34"/>
    </row>
    <row r="13" spans="1:137" x14ac:dyDescent="0.2">
      <c r="A13">
        <v>205</v>
      </c>
      <c r="B13" t="s">
        <v>117</v>
      </c>
      <c r="C13" t="s">
        <v>7</v>
      </c>
      <c r="D13">
        <v>4</v>
      </c>
      <c r="E13">
        <f>VLOOKUP($A13,'[1]Init $$'!$B$3:$CG$118,4,FALSE)</f>
        <v>601</v>
      </c>
      <c r="F13">
        <f>VLOOKUP($A13,'[1]Init $$'!$B$3:$CG$118,6,FALSE)</f>
        <v>465</v>
      </c>
      <c r="G13">
        <f>VLOOKUP($A13,'[2]$$xSchpostCouncilxLevel'!$A$4:$EW$120,153,FALSE)</f>
        <v>503</v>
      </c>
      <c r="H13" s="50">
        <f t="shared" si="1"/>
        <v>-38</v>
      </c>
      <c r="I13" s="4">
        <f>VLOOKUP($A13,'[1]Init $$'!$B$3:$CG$118,8,FALSE)</f>
        <v>0.43261231281198004</v>
      </c>
      <c r="J13">
        <f>VLOOKUP($A13,'[1]Init $$'!$B$3:$CG$118,7,FALSE)</f>
        <v>260</v>
      </c>
      <c r="K13" s="43">
        <f>'Est gen ed 23 $$'!K13/'Est gen ed 23 pos'!K$123</f>
        <v>1</v>
      </c>
      <c r="L13" s="43">
        <f>'Est gen ed 23 $$'!L13/'Est gen ed 23 pos'!L$123</f>
        <v>0</v>
      </c>
      <c r="M13" s="43">
        <f>'Est gen ed 23 $$'!M13/'Est gen ed 23 pos'!M$123</f>
        <v>0</v>
      </c>
      <c r="N13" s="43">
        <f>'Est gen ed 23 $$'!N13/'Est gen ed 23 pos'!N$123</f>
        <v>1</v>
      </c>
      <c r="O13" s="34">
        <f>VLOOKUP($A13,'[1]Init $$'!$B$3:$CG$118,15,FALSE)</f>
        <v>6801.95</v>
      </c>
      <c r="P13" s="43">
        <f>'Est gen ed 23 $$'!P13/'Est gen ed 23 pos'!P$123</f>
        <v>1</v>
      </c>
      <c r="Q13" s="43">
        <f>'Est gen ed 23 $$'!Q13/'Est gen ed 23 pos'!Q$123</f>
        <v>1</v>
      </c>
      <c r="R13" s="43">
        <f>'Est gen ed 23 $$'!R13/'Est gen ed 23 pos'!R$123</f>
        <v>3.0000001953611113</v>
      </c>
      <c r="S13" s="43">
        <f>'Est gen ed 23 $$'!S13/'Est gen ed 23 pos'!S$123</f>
        <v>1</v>
      </c>
      <c r="T13" s="43">
        <f>'Est gen ed 23 $$'!T13/'Est gen ed 23 pos'!T$123</f>
        <v>3.9999998243031758</v>
      </c>
      <c r="U13" s="43">
        <f>'Est gen ed 23 $$'!U13/'Est gen ed 23 pos'!U$123</f>
        <v>0</v>
      </c>
      <c r="V13" s="43">
        <f>'Est gen ed 23 $$'!V13/'Est gen ed 23 pos'!V$123</f>
        <v>3.9999998243031758</v>
      </c>
      <c r="W13" s="43">
        <f>'Est gen ed 23 $$'!W13/'Est gen ed 23 pos'!W$123</f>
        <v>7.999999234037924</v>
      </c>
      <c r="X13" s="34">
        <f>VLOOKUP($A13,'[1]Init $$'!$B$3:$CG$118,24,FALSE)</f>
        <v>243698.4</v>
      </c>
      <c r="Y13" s="34">
        <f>VLOOKUP($A13,'[1]Init $$'!$B$3:$CG$118,25,FALSE)</f>
        <v>0</v>
      </c>
      <c r="Z13" s="34">
        <f>VLOOKUP($A13,'[1]Init $$'!$B$3:$CG$118,26,FALSE)</f>
        <v>0</v>
      </c>
      <c r="AA13" s="34">
        <f>VLOOKUP($A13,'[1]Init $$'!$B$3:$CG$118,27,FALSE)</f>
        <v>0</v>
      </c>
      <c r="AB13" s="43">
        <f>'Est gen ed 23 $$'!AB13/'Est gen ed 23 pos'!AB$123</f>
        <v>0</v>
      </c>
      <c r="AC13" s="43">
        <f>'Est gen ed 23 $$'!AC13/'Est gen ed 23 pos'!AC$123</f>
        <v>0</v>
      </c>
      <c r="AD13" s="43">
        <f>'Est gen ed 23 $$'!AD13/'Est gen ed 23 pos'!AD$123</f>
        <v>0</v>
      </c>
      <c r="AE13" s="43">
        <f>'Est gen ed 23 $$'!AE13/'Est gen ed 23 pos'!AE$123</f>
        <v>0</v>
      </c>
      <c r="AF13" s="34">
        <f>VLOOKUP($A13,'[1]Init $$'!$B$3:$CG$118,32,FALSE)</f>
        <v>2777445</v>
      </c>
      <c r="AG13" s="34">
        <f>VLOOKUP($A13,'[1]Init $$'!$B$3:$CG$118,33,FALSE)</f>
        <v>195325</v>
      </c>
      <c r="AH13" s="43">
        <f>'Est gen ed 23 $$'!AH13/'Est gen ed 23 pos'!AH$123</f>
        <v>1</v>
      </c>
      <c r="AI13" s="43">
        <f>'Est gen ed 23 $$'!AI13/'Est gen ed 23 pos'!AI$123</f>
        <v>1.9999999121515879</v>
      </c>
      <c r="AJ13" s="43">
        <f>'Est gen ed 23 $$'!AJ13/'Est gen ed 23 pos'!AJ$123</f>
        <v>4.9999998243031758</v>
      </c>
      <c r="AK13" s="43">
        <f>'Est gen ed 23 $$'!AK13/'Est gen ed 23 pos'!AK$123</f>
        <v>2.9999999121515879</v>
      </c>
      <c r="AL13" s="43">
        <f>'Est gen ed 23 $$'!AL13/'Est gen ed 23 pos'!AL$123</f>
        <v>5.9999994893586166</v>
      </c>
      <c r="AM13" s="43">
        <f>'Est gen ed 23 $$'!AM13/'Est gen ed 23 pos'!AM$123</f>
        <v>0</v>
      </c>
      <c r="AN13" s="43">
        <f>'Est gen ed 23 $$'!AN13/'Est gen ed 23 pos'!AN$123</f>
        <v>0</v>
      </c>
      <c r="AO13" s="43">
        <f>'Est gen ed 23 $$'!AO13/'Est gen ed 23 pos'!AO$123</f>
        <v>0</v>
      </c>
      <c r="AP13" s="34">
        <f>VLOOKUP($A13,'[1]Init $$'!$B$3:$CG$118,42,FALSE)</f>
        <v>157687.20000000001</v>
      </c>
      <c r="AQ13" s="34">
        <f>VLOOKUP($A13,'[1]Init $$'!$B$3:$CG$118,43,FALSE)</f>
        <v>0</v>
      </c>
      <c r="AR13" s="43">
        <f>'Est gen ed 23 $$'!AR13/'Est gen ed 23 pos'!AR$123</f>
        <v>13.999999560757939</v>
      </c>
      <c r="AS13" s="43">
        <f>'Est gen ed 23 $$'!AS13/'Est gen ed 23 pos'!AS$123</f>
        <v>0</v>
      </c>
      <c r="AT13" s="43">
        <f>'Est gen ed 23 $$'!AT13/'Est gen ed 23 pos'!AT$123</f>
        <v>1</v>
      </c>
      <c r="AU13" s="34">
        <f>VLOOKUP($A13,'[1]Init $$'!$B$3:$CG$118,47,FALSE)</f>
        <v>539361.9</v>
      </c>
      <c r="AV13" s="34">
        <f>VLOOKUP($A13,'[1]Init $$'!$B$3:$CG$118,48,FALSE)</f>
        <v>34000</v>
      </c>
      <c r="AW13" s="34">
        <f>VLOOKUP($A13,'[1]Init $$'!$B$3:$CG$118,49,FALSE)</f>
        <v>54400</v>
      </c>
      <c r="AX13" s="34">
        <f>VLOOKUP($A13,'[1]Init $$'!$B$3:$CG$118,50,FALSE)</f>
        <v>0</v>
      </c>
      <c r="AY13" s="34">
        <f>VLOOKUP($A13,'[1]Init $$'!$B$3:$CG$118,51,FALSE)</f>
        <v>0</v>
      </c>
      <c r="AZ13" s="34">
        <f>VLOOKUP($A13,'[1]Init $$'!$B$3:$CG$118,52,FALSE)</f>
        <v>54400</v>
      </c>
      <c r="BA13" s="34">
        <f>VLOOKUP($A13,'[1]Init $$'!$B$3:$CG$118,53,FALSE)</f>
        <v>10200</v>
      </c>
      <c r="BB13" s="34">
        <f>VLOOKUP($A13,'[1]Init $$'!$B$3:$CG$118,54,FALSE)</f>
        <v>74800</v>
      </c>
      <c r="BC13" s="34">
        <f>VLOOKUP($A13,'[1]Init $$'!$B$3:$CG$118,55,FALSE)</f>
        <v>185300.43</v>
      </c>
      <c r="BD13" s="34">
        <f>VLOOKUP($A13,'[1]Init $$'!$B$3:$CG$118,56,FALSE)</f>
        <v>2984.73</v>
      </c>
      <c r="BE13" s="34">
        <f>VLOOKUP($A13,'[1]Init $$'!$B$3:$CG$118,57,FALSE)</f>
        <v>0</v>
      </c>
      <c r="BF13" s="43">
        <f>'Est gen ed 23 $$'!BF13/'Est gen ed 23 pos'!BF$123</f>
        <v>0</v>
      </c>
      <c r="BG13" s="43">
        <f>'Est gen ed 23 $$'!BG13/'Est gen ed 23 pos'!BG$123</f>
        <v>0</v>
      </c>
      <c r="BH13" s="34">
        <f>VLOOKUP($A13,'[1]Init $$'!$B$3:$CG$118,60,FALSE)</f>
        <v>0</v>
      </c>
      <c r="BI13" s="34">
        <f>VLOOKUP($A13,'[1]Init $$'!$B$3:$CG$118,61,FALSE)</f>
        <v>0</v>
      </c>
      <c r="BJ13" s="34">
        <f>VLOOKUP($A13,'[1]Init $$'!$B$3:$CG$118,62,FALSE)</f>
        <v>0</v>
      </c>
      <c r="BK13" s="43">
        <f>'Est gen ed 23 $$'!BK13/'Est gen ed 23 pos'!BK$123</f>
        <v>0</v>
      </c>
      <c r="BL13" s="34">
        <f>VLOOKUP($A13,'[1]Init $$'!$B$3:$CG$118,64,FALSE)</f>
        <v>0</v>
      </c>
      <c r="BM13" s="43">
        <f>'Est gen ed 23 $$'!BM13/'Est gen ed 23 pos'!BM$123</f>
        <v>0</v>
      </c>
      <c r="BN13" s="34">
        <f>VLOOKUP($A13,'[1]Init $$'!$B$3:$CG$118,66,FALSE)</f>
        <v>0</v>
      </c>
      <c r="BO13" s="43">
        <f>'Est gen ed 23 $$'!BO13/'Est gen ed 23 pos'!BO$123</f>
        <v>0</v>
      </c>
      <c r="BP13" s="34">
        <f>VLOOKUP($A13,'[1]Init $$'!$B$3:$CG$118,68,FALSE)</f>
        <v>0</v>
      </c>
      <c r="BQ13" s="43">
        <f>'Est gen ed 23 $$'!BQ13/'Est gen ed 23 pos'!BQ$123</f>
        <v>0</v>
      </c>
      <c r="BR13" s="43">
        <f>'Est gen ed 23 $$'!BR13/'Est gen ed 23 pos'!BR$123</f>
        <v>0</v>
      </c>
      <c r="BS13" s="34">
        <f>VLOOKUP($A13,'[1]Init $$'!$B$3:$CG$118,71,FALSE)</f>
        <v>0</v>
      </c>
      <c r="BT13" s="34">
        <f>VLOOKUP($A13,'[1]Init $$'!$B$3:$CG$118,72,FALSE)</f>
        <v>0</v>
      </c>
      <c r="BU13" s="34">
        <f>VLOOKUP($A13,'[1]Init $$'!$B$3:$CG$118,73,FALSE)</f>
        <v>15325</v>
      </c>
      <c r="BV13" s="34">
        <f>VLOOKUP($A13,'[1]Init $$'!$B$3:$CG$118,74,FALSE)</f>
        <v>0</v>
      </c>
      <c r="BW13" s="34">
        <f>VLOOKUP($A13,'[1]Init $$'!$B$3:$CG$118,75,FALSE)</f>
        <v>0</v>
      </c>
      <c r="BX13" s="43">
        <f>'Est gen ed 23 $$'!BX13/'Est gen ed 23 pos'!BX$123</f>
        <v>0</v>
      </c>
      <c r="BY13" s="43">
        <f>'Est gen ed 23 $$'!BY13/'Est gen ed 23 pos'!BY$123</f>
        <v>0</v>
      </c>
      <c r="BZ13" s="43">
        <f>'Est gen ed 23 $$'!BZ13/'Est gen ed 23 pos'!BZ$123</f>
        <v>0</v>
      </c>
      <c r="CA13" s="34">
        <f>VLOOKUP($A13,'[1]Init $$'!$B$3:$CG$118,79,FALSE)</f>
        <v>697451.04</v>
      </c>
      <c r="CB13" s="34">
        <f>VLOOKUP($A13,'[1]Init $$'!$B$3:$CG$118,80,FALSE)</f>
        <v>23414.16</v>
      </c>
      <c r="CC13" s="34">
        <f>VLOOKUP($A13,'[1]Init $$'!$B$3:$CG$118,81,FALSE)</f>
        <v>0</v>
      </c>
      <c r="CD13" s="34">
        <f>VLOOKUP($A13,'[1]Init $$'!$B$3:$CG$118,82,FALSE)</f>
        <v>0</v>
      </c>
      <c r="CE13" s="34">
        <f>VLOOKUP($A13,'[1]Init $$'!$B$3:$CG$118,83,FALSE)</f>
        <v>0</v>
      </c>
      <c r="CF13" s="34">
        <f>VLOOKUP($A13,'[1]Init $$'!$B$3:$CG$118,84,FALSE)</f>
        <v>0</v>
      </c>
      <c r="CJ13" s="28">
        <f t="shared" si="2"/>
        <v>5072650.8099977775</v>
      </c>
      <c r="CK13" s="43">
        <f>'Est gen ed 23 $$'!CK13/'Est gen ed 23 pos'!CK$123</f>
        <v>0.99999604682144683</v>
      </c>
      <c r="CL13" s="43">
        <f>'Est gen ed 23 $$'!CL13/'Est gen ed 23 pos'!CL$123</f>
        <v>1.5024999999999999</v>
      </c>
      <c r="CM13" s="43">
        <f>'Est gen ed 23 $$'!CM13/'Est gen ed 23 pos'!CM$123</f>
        <v>1</v>
      </c>
      <c r="CN13" s="43">
        <f>'Est gen ed 23 $$'!CN13/'Est gen ed 23 pos'!CN$123</f>
        <v>0.66555740432612309</v>
      </c>
      <c r="CO13" s="43">
        <f>'Est gen ed 23 $$'!CO13/'Est gen ed 23 pos'!CO$123</f>
        <v>0</v>
      </c>
      <c r="CP13" s="43">
        <f>'Est gen ed 23 $$'!CP13/'Est gen ed 23 pos'!CP$123</f>
        <v>0</v>
      </c>
      <c r="CQ13" s="43">
        <f>'Est gen ed 23 $$'!CQ13/'Est gen ed 23 pos'!CQ$123</f>
        <v>1.4999940702321701</v>
      </c>
      <c r="CR13" s="43">
        <f>'Est gen ed 23 $$'!CR13/'Est gen ed 23 pos'!CR$123</f>
        <v>1.4999940702321701</v>
      </c>
      <c r="CS13" s="43">
        <f>'Est gen ed 23 $$'!CS13/'Est gen ed 23 pos'!CS$123</f>
        <v>2.499990117053617</v>
      </c>
      <c r="CT13" s="43">
        <f>'Est gen ed 23 $$'!CT13/'Est gen ed 23 pos'!CT$123</f>
        <v>4</v>
      </c>
      <c r="CU13" s="43">
        <f>'Est gen ed 23 $$'!CU13/'Est gen ed 23 pos'!CU$123</f>
        <v>24</v>
      </c>
      <c r="CZ13" s="43">
        <f>'Est gen ed 23 $$'!CW13/'Est gen ed 23 pos'!CZ$123</f>
        <v>0</v>
      </c>
      <c r="DB13" s="28">
        <f t="shared" si="3"/>
        <v>2777445</v>
      </c>
      <c r="DC13" s="28">
        <f t="shared" si="0"/>
        <v>0</v>
      </c>
      <c r="DK13" s="34"/>
      <c r="DL13" s="34"/>
    </row>
    <row r="14" spans="1:137" x14ac:dyDescent="0.2">
      <c r="A14">
        <v>206</v>
      </c>
      <c r="B14" t="s">
        <v>116</v>
      </c>
      <c r="C14" t="s">
        <v>7</v>
      </c>
      <c r="D14">
        <v>7</v>
      </c>
      <c r="E14">
        <f>VLOOKUP($A14,'[1]Init $$'!$B$3:$CG$118,4,FALSE)</f>
        <v>367</v>
      </c>
      <c r="F14">
        <f>VLOOKUP($A14,'[1]Init $$'!$B$3:$CG$118,6,FALSE)</f>
        <v>288</v>
      </c>
      <c r="G14">
        <f>VLOOKUP($A14,'[2]$$xSchpostCouncilxLevel'!$A$4:$EW$120,153,FALSE)</f>
        <v>373</v>
      </c>
      <c r="H14" s="50">
        <f t="shared" si="1"/>
        <v>-85</v>
      </c>
      <c r="I14" s="4">
        <f>VLOOKUP($A14,'[1]Init $$'!$B$3:$CG$118,8,FALSE)</f>
        <v>0.55858310626703001</v>
      </c>
      <c r="J14">
        <f>VLOOKUP($A14,'[1]Init $$'!$B$3:$CG$118,7,FALSE)</f>
        <v>205</v>
      </c>
      <c r="K14" s="43">
        <f>'Est gen ed 23 $$'!K14/'Est gen ed 23 pos'!K$123</f>
        <v>1</v>
      </c>
      <c r="L14" s="43">
        <f>'Est gen ed 23 $$'!L14/'Est gen ed 23 pos'!L$123</f>
        <v>0</v>
      </c>
      <c r="M14" s="43">
        <f>'Est gen ed 23 $$'!M14/'Est gen ed 23 pos'!M$123</f>
        <v>0</v>
      </c>
      <c r="N14" s="43">
        <f>'Est gen ed 23 $$'!N14/'Est gen ed 23 pos'!N$123</f>
        <v>1</v>
      </c>
      <c r="O14" s="34">
        <f>VLOOKUP($A14,'[1]Init $$'!$B$3:$CG$118,15,FALSE)</f>
        <v>6421.55</v>
      </c>
      <c r="P14" s="43">
        <f>'Est gen ed 23 $$'!P14/'Est gen ed 23 pos'!P$123</f>
        <v>1</v>
      </c>
      <c r="Q14" s="43">
        <f>'Est gen ed 23 $$'!Q14/'Est gen ed 23 pos'!Q$123</f>
        <v>1</v>
      </c>
      <c r="R14" s="43">
        <f>'Est gen ed 23 $$'!R14/'Est gen ed 23 pos'!R$123</f>
        <v>2.0000001953611113</v>
      </c>
      <c r="S14" s="43">
        <f>'Est gen ed 23 $$'!S14/'Est gen ed 23 pos'!S$123</f>
        <v>1</v>
      </c>
      <c r="T14" s="43">
        <f>'Est gen ed 23 $$'!T14/'Est gen ed 23 pos'!T$123</f>
        <v>1.9999999121515879</v>
      </c>
      <c r="U14" s="43">
        <f>'Est gen ed 23 $$'!U14/'Est gen ed 23 pos'!U$123</f>
        <v>1</v>
      </c>
      <c r="V14" s="43">
        <f>'Est gen ed 23 $$'!V14/'Est gen ed 23 pos'!V$123</f>
        <v>1.9999999121515879</v>
      </c>
      <c r="W14" s="43">
        <f>'Est gen ed 23 $$'!W14/'Est gen ed 23 pos'!W$123</f>
        <v>4.9999994893586166</v>
      </c>
      <c r="X14" s="34">
        <f>VLOOKUP($A14,'[1]Init $$'!$B$3:$CG$118,24,FALSE)</f>
        <v>141560.1</v>
      </c>
      <c r="Y14" s="34">
        <f>VLOOKUP($A14,'[1]Init $$'!$B$3:$CG$118,25,FALSE)</f>
        <v>0</v>
      </c>
      <c r="Z14" s="34">
        <f>VLOOKUP($A14,'[1]Init $$'!$B$3:$CG$118,26,FALSE)</f>
        <v>0</v>
      </c>
      <c r="AA14" s="34">
        <f>VLOOKUP($A14,'[1]Init $$'!$B$3:$CG$118,27,FALSE)</f>
        <v>0</v>
      </c>
      <c r="AB14" s="43">
        <f>'Est gen ed 23 $$'!AB14/'Est gen ed 23 pos'!AB$123</f>
        <v>0</v>
      </c>
      <c r="AC14" s="43">
        <f>'Est gen ed 23 $$'!AC14/'Est gen ed 23 pos'!AC$123</f>
        <v>0</v>
      </c>
      <c r="AD14" s="43">
        <f>'Est gen ed 23 $$'!AD14/'Est gen ed 23 pos'!AD$123</f>
        <v>0</v>
      </c>
      <c r="AE14" s="43">
        <f>'Est gen ed 23 $$'!AE14/'Est gen ed 23 pos'!AE$123</f>
        <v>0</v>
      </c>
      <c r="AF14" s="34">
        <f>VLOOKUP($A14,'[1]Init $$'!$B$3:$CG$118,32,FALSE)</f>
        <v>1720224</v>
      </c>
      <c r="AG14" s="34">
        <f>VLOOKUP($A14,'[1]Init $$'!$B$3:$CG$118,33,FALSE)</f>
        <v>119275</v>
      </c>
      <c r="AH14" s="43">
        <f>'Est gen ed 23 $$'!AH14/'Est gen ed 23 pos'!AH$123</f>
        <v>1</v>
      </c>
      <c r="AI14" s="43">
        <f>'Est gen ed 23 $$'!AI14/'Est gen ed 23 pos'!AI$123</f>
        <v>1.9999999121515879</v>
      </c>
      <c r="AJ14" s="43">
        <f>'Est gen ed 23 $$'!AJ14/'Est gen ed 23 pos'!AJ$123</f>
        <v>2.9999999121515879</v>
      </c>
      <c r="AK14" s="43">
        <f>'Est gen ed 23 $$'!AK14/'Est gen ed 23 pos'!AK$123</f>
        <v>5.9999998243031758</v>
      </c>
      <c r="AL14" s="43">
        <f>'Est gen ed 23 $$'!AL14/'Est gen ed 23 pos'!AL$123</f>
        <v>11.999998978717233</v>
      </c>
      <c r="AM14" s="43">
        <f>'Est gen ed 23 $$'!AM14/'Est gen ed 23 pos'!AM$123</f>
        <v>0</v>
      </c>
      <c r="AN14" s="43">
        <f>'Est gen ed 23 $$'!AN14/'Est gen ed 23 pos'!AN$123</f>
        <v>0</v>
      </c>
      <c r="AO14" s="43">
        <f>'Est gen ed 23 $$'!AO14/'Est gen ed 23 pos'!AO$123</f>
        <v>1</v>
      </c>
      <c r="AP14" s="34">
        <f>VLOOKUP($A14,'[1]Init $$'!$B$3:$CG$118,42,FALSE)</f>
        <v>146935.79999999999</v>
      </c>
      <c r="AQ14" s="34">
        <f>VLOOKUP($A14,'[1]Init $$'!$B$3:$CG$118,43,FALSE)</f>
        <v>0</v>
      </c>
      <c r="AR14" s="43">
        <f>'Est gen ed 23 $$'!AR14/'Est gen ed 23 pos'!AR$123</f>
        <v>0</v>
      </c>
      <c r="AS14" s="43">
        <f>'Est gen ed 23 $$'!AS14/'Est gen ed 23 pos'!AS$123</f>
        <v>4.9999978037896929E-2</v>
      </c>
      <c r="AT14" s="43">
        <f>'Est gen ed 23 $$'!AT14/'Est gen ed 23 pos'!AT$123</f>
        <v>0</v>
      </c>
      <c r="AU14" s="34">
        <f>VLOOKUP($A14,'[1]Init $$'!$B$3:$CG$118,47,FALSE)</f>
        <v>1791.9</v>
      </c>
      <c r="AV14" s="34">
        <f>VLOOKUP($A14,'[1]Init $$'!$B$3:$CG$118,48,FALSE)</f>
        <v>27200</v>
      </c>
      <c r="AW14" s="34">
        <f>VLOOKUP($A14,'[1]Init $$'!$B$3:$CG$118,49,FALSE)</f>
        <v>20400</v>
      </c>
      <c r="AX14" s="34">
        <f>VLOOKUP($A14,'[1]Init $$'!$B$3:$CG$118,50,FALSE)</f>
        <v>10200</v>
      </c>
      <c r="AY14" s="34">
        <f>VLOOKUP($A14,'[1]Init $$'!$B$3:$CG$118,51,FALSE)</f>
        <v>0</v>
      </c>
      <c r="AZ14" s="34">
        <f>VLOOKUP($A14,'[1]Init $$'!$B$3:$CG$118,52,FALSE)</f>
        <v>47600</v>
      </c>
      <c r="BA14" s="34">
        <f>VLOOKUP($A14,'[1]Init $$'!$B$3:$CG$118,53,FALSE)</f>
        <v>0</v>
      </c>
      <c r="BB14" s="34">
        <f>VLOOKUP($A14,'[1]Init $$'!$B$3:$CG$118,54,FALSE)</f>
        <v>40800</v>
      </c>
      <c r="BC14" s="34">
        <f>VLOOKUP($A14,'[1]Init $$'!$B$3:$CG$118,55,FALSE)</f>
        <v>180105.1</v>
      </c>
      <c r="BD14" s="34">
        <f>VLOOKUP($A14,'[1]Init $$'!$B$3:$CG$118,56,FALSE)</f>
        <v>2901.05</v>
      </c>
      <c r="BE14" s="34">
        <f>VLOOKUP($A14,'[1]Init $$'!$B$3:$CG$118,57,FALSE)</f>
        <v>0</v>
      </c>
      <c r="BF14" s="43">
        <f>'Est gen ed 23 $$'!BF14/'Est gen ed 23 pos'!BF$123</f>
        <v>0</v>
      </c>
      <c r="BG14" s="43">
        <f>'Est gen ed 23 $$'!BG14/'Est gen ed 23 pos'!BG$123</f>
        <v>0</v>
      </c>
      <c r="BH14" s="34">
        <f>VLOOKUP($A14,'[1]Init $$'!$B$3:$CG$118,60,FALSE)</f>
        <v>0</v>
      </c>
      <c r="BI14" s="34">
        <f>VLOOKUP($A14,'[1]Init $$'!$B$3:$CG$118,61,FALSE)</f>
        <v>0</v>
      </c>
      <c r="BJ14" s="34">
        <f>VLOOKUP($A14,'[1]Init $$'!$B$3:$CG$118,62,FALSE)</f>
        <v>0</v>
      </c>
      <c r="BK14" s="43">
        <f>'Est gen ed 23 $$'!BK14/'Est gen ed 23 pos'!BK$123</f>
        <v>0</v>
      </c>
      <c r="BL14" s="34">
        <f>VLOOKUP($A14,'[1]Init $$'!$B$3:$CG$118,64,FALSE)</f>
        <v>0</v>
      </c>
      <c r="BM14" s="43">
        <f>'Est gen ed 23 $$'!BM14/'Est gen ed 23 pos'!BM$123</f>
        <v>0</v>
      </c>
      <c r="BN14" s="34">
        <f>VLOOKUP($A14,'[1]Init $$'!$B$3:$CG$118,66,FALSE)</f>
        <v>0</v>
      </c>
      <c r="BO14" s="43">
        <f>'Est gen ed 23 $$'!BO14/'Est gen ed 23 pos'!BO$123</f>
        <v>0</v>
      </c>
      <c r="BP14" s="34">
        <f>VLOOKUP($A14,'[1]Init $$'!$B$3:$CG$118,68,FALSE)</f>
        <v>0</v>
      </c>
      <c r="BQ14" s="43">
        <f>'Est gen ed 23 $$'!BQ14/'Est gen ed 23 pos'!BQ$123</f>
        <v>0</v>
      </c>
      <c r="BR14" s="43">
        <f>'Est gen ed 23 $$'!BR14/'Est gen ed 23 pos'!BR$123</f>
        <v>0</v>
      </c>
      <c r="BS14" s="34">
        <f>VLOOKUP($A14,'[1]Init $$'!$B$3:$CG$118,71,FALSE)</f>
        <v>0</v>
      </c>
      <c r="BT14" s="34">
        <f>VLOOKUP($A14,'[1]Init $$'!$B$3:$CG$118,72,FALSE)</f>
        <v>0</v>
      </c>
      <c r="BU14" s="34">
        <f>VLOOKUP($A14,'[1]Init $$'!$B$3:$CG$118,73,FALSE)</f>
        <v>15325</v>
      </c>
      <c r="BV14" s="34">
        <f>VLOOKUP($A14,'[1]Init $$'!$B$3:$CG$118,74,FALSE)</f>
        <v>0</v>
      </c>
      <c r="BW14" s="34">
        <f>VLOOKUP($A14,'[1]Init $$'!$B$3:$CG$118,75,FALSE)</f>
        <v>0</v>
      </c>
      <c r="BX14" s="43">
        <f>'Est gen ed 23 $$'!BX14/'Est gen ed 23 pos'!BX$123</f>
        <v>0</v>
      </c>
      <c r="BY14" s="43">
        <f>'Est gen ed 23 $$'!BY14/'Est gen ed 23 pos'!BY$123</f>
        <v>0</v>
      </c>
      <c r="BZ14" s="43">
        <f>'Est gen ed 23 $$'!BZ14/'Est gen ed 23 pos'!BZ$123</f>
        <v>0</v>
      </c>
      <c r="CA14" s="34">
        <f>VLOOKUP($A14,'[1]Init $$'!$B$3:$CG$118,79,FALSE)</f>
        <v>549913.31999999995</v>
      </c>
      <c r="CB14" s="34">
        <f>VLOOKUP($A14,'[1]Init $$'!$B$3:$CG$118,80,FALSE)</f>
        <v>69525.72</v>
      </c>
      <c r="CC14" s="34">
        <f>VLOOKUP($A14,'[1]Init $$'!$B$3:$CG$118,81,FALSE)</f>
        <v>357831.96</v>
      </c>
      <c r="CD14" s="34">
        <f>VLOOKUP($A14,'[1]Init $$'!$B$3:$CG$118,82,FALSE)</f>
        <v>92197.09</v>
      </c>
      <c r="CE14" s="34">
        <f>VLOOKUP($A14,'[1]Init $$'!$B$3:$CG$118,83,FALSE)</f>
        <v>0</v>
      </c>
      <c r="CF14" s="34">
        <f>VLOOKUP($A14,'[1]Init $$'!$B$3:$CG$118,84,FALSE)</f>
        <v>346279.26</v>
      </c>
      <c r="CJ14" s="28">
        <f t="shared" si="2"/>
        <v>3896528.8999981144</v>
      </c>
      <c r="CK14" s="43">
        <f>'Est gen ed 23 $$'!CK14/'Est gen ed 23 pos'!CK$123</f>
        <v>0.99999604682144683</v>
      </c>
      <c r="CL14" s="43">
        <f>'Est gen ed 23 $$'!CL14/'Est gen ed 23 pos'!CL$123</f>
        <v>0.91749999999999987</v>
      </c>
      <c r="CM14" s="43">
        <f>'Est gen ed 23 $$'!CM14/'Est gen ed 23 pos'!CM$123</f>
        <v>1</v>
      </c>
      <c r="CN14" s="43">
        <f>'Est gen ed 23 $$'!CN14/'Est gen ed 23 pos'!CN$123</f>
        <v>0</v>
      </c>
      <c r="CO14" s="43">
        <f>'Est gen ed 23 $$'!CO14/'Est gen ed 23 pos'!CO$123</f>
        <v>0</v>
      </c>
      <c r="CP14" s="43">
        <f>'Est gen ed 23 $$'!CP14/'Est gen ed 23 pos'!CP$123</f>
        <v>0</v>
      </c>
      <c r="CQ14" s="43">
        <f>'Est gen ed 23 $$'!CQ14/'Est gen ed 23 pos'!CQ$123</f>
        <v>0.99999604682144683</v>
      </c>
      <c r="CR14" s="43">
        <f>'Est gen ed 23 $$'!CR14/'Est gen ed 23 pos'!CR$123</f>
        <v>0.99999604682144683</v>
      </c>
      <c r="CS14" s="43">
        <f>'Est gen ed 23 $$'!CS14/'Est gen ed 23 pos'!CS$123</f>
        <v>1.9999920936428937</v>
      </c>
      <c r="CT14" s="43">
        <f>'Est gen ed 23 $$'!CT14/'Est gen ed 23 pos'!CT$123</f>
        <v>3</v>
      </c>
      <c r="CU14" s="43">
        <f>'Est gen ed 23 $$'!CU14/'Est gen ed 23 pos'!CU$123</f>
        <v>16</v>
      </c>
      <c r="CZ14" s="43">
        <f>'Est gen ed 23 $$'!CW14/'Est gen ed 23 pos'!CZ$123</f>
        <v>0</v>
      </c>
      <c r="DB14" s="28">
        <f t="shared" si="3"/>
        <v>1720224</v>
      </c>
      <c r="DC14" s="28">
        <f t="shared" si="0"/>
        <v>796308.31</v>
      </c>
      <c r="DK14" s="34"/>
      <c r="DL14" s="34"/>
    </row>
    <row r="15" spans="1:137" x14ac:dyDescent="0.2">
      <c r="A15">
        <v>402</v>
      </c>
      <c r="B15" t="s">
        <v>115</v>
      </c>
      <c r="C15" t="s">
        <v>1</v>
      </c>
      <c r="D15">
        <v>1</v>
      </c>
      <c r="E15">
        <f>VLOOKUP($A15,'[1]Init $$'!$B$3:$CG$118,4,FALSE)</f>
        <v>564</v>
      </c>
      <c r="F15">
        <f>VLOOKUP($A15,'[1]Init $$'!$B$3:$CG$118,6,FALSE)</f>
        <v>564</v>
      </c>
      <c r="G15">
        <f>VLOOKUP($A15,'[2]$$xSchpostCouncilxLevel'!$A$4:$EW$120,153,FALSE)</f>
        <v>572</v>
      </c>
      <c r="H15" s="50">
        <f t="shared" si="1"/>
        <v>-8</v>
      </c>
      <c r="I15" s="4">
        <f>VLOOKUP($A15,'[1]Init $$'!$B$3:$CG$118,8,FALSE)</f>
        <v>0.25709219858156029</v>
      </c>
      <c r="J15">
        <f>VLOOKUP($A15,'[1]Init $$'!$B$3:$CG$118,7,FALSE)</f>
        <v>145</v>
      </c>
      <c r="K15" s="43">
        <f>'Est gen ed 23 $$'!K15/'Est gen ed 23 pos'!K$123</f>
        <v>1</v>
      </c>
      <c r="L15" s="43">
        <f>'Est gen ed 23 $$'!L15/'Est gen ed 23 pos'!L$123</f>
        <v>0</v>
      </c>
      <c r="M15" s="43">
        <f>'Est gen ed 23 $$'!M15/'Est gen ed 23 pos'!M$123</f>
        <v>2.4999986762701969</v>
      </c>
      <c r="N15" s="43">
        <f>'Est gen ed 23 $$'!N15/'Est gen ed 23 pos'!N$123</f>
        <v>1</v>
      </c>
      <c r="O15" s="34">
        <f>VLOOKUP($A15,'[1]Init $$'!$B$3:$CG$118,15,FALSE)</f>
        <v>14706</v>
      </c>
      <c r="P15" s="43">
        <f>'Est gen ed 23 $$'!P15/'Est gen ed 23 pos'!P$123</f>
        <v>1</v>
      </c>
      <c r="Q15" s="43">
        <f>'Est gen ed 23 $$'!Q15/'Est gen ed 23 pos'!Q$123</f>
        <v>1</v>
      </c>
      <c r="R15" s="43">
        <f>'Est gen ed 23 $$'!R15/'Est gen ed 23 pos'!R$123</f>
        <v>5.0000003907222226</v>
      </c>
      <c r="S15" s="43">
        <f>'Est gen ed 23 $$'!S15/'Est gen ed 23 pos'!S$123</f>
        <v>1</v>
      </c>
      <c r="T15" s="43">
        <f>'Est gen ed 23 $$'!T15/'Est gen ed 23 pos'!T$123</f>
        <v>0</v>
      </c>
      <c r="U15" s="43">
        <f>'Est gen ed 23 $$'!U15/'Est gen ed 23 pos'!U$123</f>
        <v>0</v>
      </c>
      <c r="V15" s="43">
        <f>'Est gen ed 23 $$'!V15/'Est gen ed 23 pos'!V$123</f>
        <v>0</v>
      </c>
      <c r="W15" s="43">
        <f>'Est gen ed 23 $$'!W15/'Est gen ed 23 pos'!W$123</f>
        <v>0</v>
      </c>
      <c r="X15" s="34">
        <f>VLOOKUP($A15,'[1]Init $$'!$B$3:$CG$118,24,FALSE)</f>
        <v>0</v>
      </c>
      <c r="Y15" s="34">
        <f>VLOOKUP($A15,'[1]Init $$'!$B$3:$CG$118,25,FALSE)</f>
        <v>0</v>
      </c>
      <c r="Z15" s="34">
        <f>VLOOKUP($A15,'[1]Init $$'!$B$3:$CG$118,26,FALSE)</f>
        <v>0</v>
      </c>
      <c r="AA15" s="34">
        <f>VLOOKUP($A15,'[1]Init $$'!$B$3:$CG$118,27,FALSE)</f>
        <v>0</v>
      </c>
      <c r="AB15" s="43">
        <f>'Est gen ed 23 $$'!AB15/'Est gen ed 23 pos'!AB$123</f>
        <v>0</v>
      </c>
      <c r="AC15" s="43">
        <f>'Est gen ed 23 $$'!AC15/'Est gen ed 23 pos'!AC$123</f>
        <v>0</v>
      </c>
      <c r="AD15" s="43">
        <f>'Est gen ed 23 $$'!AD15/'Est gen ed 23 pos'!AD$123</f>
        <v>0</v>
      </c>
      <c r="AE15" s="43">
        <f>'Est gen ed 23 $$'!AE15/'Est gen ed 23 pos'!AE$123</f>
        <v>0</v>
      </c>
      <c r="AF15" s="34">
        <f>VLOOKUP($A15,'[1]Init $$'!$B$3:$CG$118,32,FALSE)</f>
        <v>3368772</v>
      </c>
      <c r="AG15" s="34">
        <f>VLOOKUP($A15,'[1]Init $$'!$B$3:$CG$118,33,FALSE)</f>
        <v>334452</v>
      </c>
      <c r="AH15" s="43">
        <f>'Est gen ed 23 $$'!AH15/'Est gen ed 23 pos'!AH$123</f>
        <v>1</v>
      </c>
      <c r="AI15" s="43">
        <f>'Est gen ed 23 $$'!AI15/'Est gen ed 23 pos'!AI$123</f>
        <v>1</v>
      </c>
      <c r="AJ15" s="43">
        <f>'Est gen ed 23 $$'!AJ15/'Est gen ed 23 pos'!AJ$123</f>
        <v>1</v>
      </c>
      <c r="AK15" s="43">
        <f>'Est gen ed 23 $$'!AK15/'Est gen ed 23 pos'!AK$123</f>
        <v>0</v>
      </c>
      <c r="AL15" s="43">
        <f>'Est gen ed 23 $$'!AL15/'Est gen ed 23 pos'!AL$123</f>
        <v>0</v>
      </c>
      <c r="AM15" s="43">
        <f>'Est gen ed 23 $$'!AM15/'Est gen ed 23 pos'!AM$123</f>
        <v>0</v>
      </c>
      <c r="AN15" s="43">
        <f>'Est gen ed 23 $$'!AN15/'Est gen ed 23 pos'!AN$123</f>
        <v>0</v>
      </c>
      <c r="AO15" s="43">
        <f>'Est gen ed 23 $$'!AO15/'Est gen ed 23 pos'!AO$123</f>
        <v>0</v>
      </c>
      <c r="AP15" s="34">
        <f>VLOOKUP($A15,'[1]Init $$'!$B$3:$CG$118,42,FALSE)</f>
        <v>7167.6</v>
      </c>
      <c r="AQ15" s="34">
        <f>VLOOKUP($A15,'[1]Init $$'!$B$3:$CG$118,43,FALSE)</f>
        <v>0</v>
      </c>
      <c r="AR15" s="43">
        <f>'Est gen ed 23 $$'!AR15/'Est gen ed 23 pos'!AR$123</f>
        <v>0</v>
      </c>
      <c r="AS15" s="43">
        <f>'Est gen ed 23 $$'!AS15/'Est gen ed 23 pos'!AS$123</f>
        <v>0.31999996486063509</v>
      </c>
      <c r="AT15" s="43">
        <f>'Est gen ed 23 $$'!AT15/'Est gen ed 23 pos'!AT$123</f>
        <v>0</v>
      </c>
      <c r="AU15" s="34">
        <f>VLOOKUP($A15,'[1]Init $$'!$B$3:$CG$118,47,FALSE)</f>
        <v>12543.3</v>
      </c>
      <c r="AV15" s="34">
        <f>VLOOKUP($A15,'[1]Init $$'!$B$3:$CG$118,48,FALSE)</f>
        <v>0</v>
      </c>
      <c r="AW15" s="34">
        <f>VLOOKUP($A15,'[1]Init $$'!$B$3:$CG$118,49,FALSE)</f>
        <v>0</v>
      </c>
      <c r="AX15" s="34">
        <f>VLOOKUP($A15,'[1]Init $$'!$B$3:$CG$118,50,FALSE)</f>
        <v>0</v>
      </c>
      <c r="AY15" s="34">
        <f>VLOOKUP($A15,'[1]Init $$'!$B$3:$CG$118,51,FALSE)</f>
        <v>0</v>
      </c>
      <c r="AZ15" s="34">
        <f>VLOOKUP($A15,'[1]Init $$'!$B$3:$CG$118,52,FALSE)</f>
        <v>0</v>
      </c>
      <c r="BA15" s="34">
        <f>VLOOKUP($A15,'[1]Init $$'!$B$3:$CG$118,53,FALSE)</f>
        <v>0</v>
      </c>
      <c r="BB15" s="34">
        <f>VLOOKUP($A15,'[1]Init $$'!$B$3:$CG$118,54,FALSE)</f>
        <v>0</v>
      </c>
      <c r="BC15" s="34">
        <f>VLOOKUP($A15,'[1]Init $$'!$B$3:$CG$118,55,FALSE)</f>
        <v>0</v>
      </c>
      <c r="BD15" s="34">
        <f>VLOOKUP($A15,'[1]Init $$'!$B$3:$CG$118,56,FALSE)</f>
        <v>0</v>
      </c>
      <c r="BE15" s="34">
        <f>VLOOKUP($A15,'[1]Init $$'!$B$3:$CG$118,57,FALSE)</f>
        <v>14100</v>
      </c>
      <c r="BF15" s="43">
        <f>'Est gen ed 23 $$'!BF15/'Est gen ed 23 pos'!BF$123</f>
        <v>0</v>
      </c>
      <c r="BG15" s="43">
        <f>'Est gen ed 23 $$'!BG15/'Est gen ed 23 pos'!BG$123</f>
        <v>0</v>
      </c>
      <c r="BH15" s="34">
        <f>VLOOKUP($A15,'[1]Init $$'!$B$3:$CG$118,60,FALSE)</f>
        <v>0</v>
      </c>
      <c r="BI15" s="34">
        <f>VLOOKUP($A15,'[1]Init $$'!$B$3:$CG$118,61,FALSE)</f>
        <v>0</v>
      </c>
      <c r="BJ15" s="34">
        <f>VLOOKUP($A15,'[1]Init $$'!$B$3:$CG$118,62,FALSE)</f>
        <v>0</v>
      </c>
      <c r="BK15" s="43">
        <f>'Est gen ed 23 $$'!BK15/'Est gen ed 23 pos'!BK$123</f>
        <v>1</v>
      </c>
      <c r="BL15" s="34">
        <f>VLOOKUP($A15,'[1]Init $$'!$B$3:$CG$118,64,FALSE)</f>
        <v>29430</v>
      </c>
      <c r="BM15" s="43">
        <f>'Est gen ed 23 $$'!BM15/'Est gen ed 23 pos'!BM$123</f>
        <v>0</v>
      </c>
      <c r="BN15" s="34">
        <f>VLOOKUP($A15,'[1]Init $$'!$B$3:$CG$118,66,FALSE)</f>
        <v>0</v>
      </c>
      <c r="BO15" s="43">
        <f>'Est gen ed 23 $$'!BO15/'Est gen ed 23 pos'!BO$123</f>
        <v>0</v>
      </c>
      <c r="BP15" s="34">
        <f>VLOOKUP($A15,'[1]Init $$'!$B$3:$CG$118,68,FALSE)</f>
        <v>0</v>
      </c>
      <c r="BQ15" s="43">
        <f>'Est gen ed 23 $$'!BQ15/'Est gen ed 23 pos'!BQ$123</f>
        <v>0</v>
      </c>
      <c r="BR15" s="43">
        <f>'Est gen ed 23 $$'!BR15/'Est gen ed 23 pos'!BR$123</f>
        <v>0</v>
      </c>
      <c r="BS15" s="34">
        <f>VLOOKUP($A15,'[1]Init $$'!$B$3:$CG$118,71,FALSE)</f>
        <v>0</v>
      </c>
      <c r="BT15" s="34">
        <f>VLOOKUP($A15,'[1]Init $$'!$B$3:$CG$118,72,FALSE)</f>
        <v>0</v>
      </c>
      <c r="BU15" s="34">
        <f>VLOOKUP($A15,'[1]Init $$'!$B$3:$CG$118,73,FALSE)</f>
        <v>0</v>
      </c>
      <c r="BV15" s="34">
        <f>VLOOKUP($A15,'[1]Init $$'!$B$3:$CG$118,74,FALSE)</f>
        <v>690480</v>
      </c>
      <c r="BW15" s="34">
        <f>VLOOKUP($A15,'[1]Init $$'!$B$3:$CG$118,75,FALSE)</f>
        <v>0</v>
      </c>
      <c r="BX15" s="43">
        <f>'Est gen ed 23 $$'!BX15/'Est gen ed 23 pos'!BX$123</f>
        <v>0</v>
      </c>
      <c r="BY15" s="43">
        <f>'Est gen ed 23 $$'!BY15/'Est gen ed 23 pos'!BY$123</f>
        <v>0</v>
      </c>
      <c r="BZ15" s="43">
        <f>'Est gen ed 23 $$'!BZ15/'Est gen ed 23 pos'!BZ$123</f>
        <v>0</v>
      </c>
      <c r="CA15" s="34">
        <f>VLOOKUP($A15,'[1]Init $$'!$B$3:$CG$118,79,FALSE)</f>
        <v>398351.84</v>
      </c>
      <c r="CB15" s="34">
        <f>VLOOKUP($A15,'[1]Init $$'!$B$3:$CG$118,80,FALSE)</f>
        <v>0</v>
      </c>
      <c r="CC15" s="34">
        <f>VLOOKUP($A15,'[1]Init $$'!$B$3:$CG$118,81,FALSE)</f>
        <v>0</v>
      </c>
      <c r="CD15" s="34">
        <f>VLOOKUP($A15,'[1]Init $$'!$B$3:$CG$118,82,FALSE)</f>
        <v>181663.35</v>
      </c>
      <c r="CE15" s="34">
        <f>VLOOKUP($A15,'[1]Init $$'!$B$3:$CG$118,83,FALSE)</f>
        <v>0</v>
      </c>
      <c r="CF15" s="34">
        <f>VLOOKUP($A15,'[1]Init $$'!$B$3:$CG$118,84,FALSE)</f>
        <v>0</v>
      </c>
      <c r="CJ15" s="28">
        <f t="shared" si="2"/>
        <v>5051682.9099990316</v>
      </c>
      <c r="CK15" s="43">
        <f>'Est gen ed 23 $$'!CK15/'Est gen ed 23 pos'!CK$123</f>
        <v>0.99999604682144683</v>
      </c>
      <c r="CL15" s="43">
        <f>'Est gen ed 23 $$'!CL15/'Est gen ed 23 pos'!CL$123</f>
        <v>1.88</v>
      </c>
      <c r="CM15" s="43">
        <f>'Est gen ed 23 $$'!CM15/'Est gen ed 23 pos'!CM$123</f>
        <v>1</v>
      </c>
      <c r="CN15" s="43">
        <f>'Est gen ed 23 $$'!CN15/'Est gen ed 23 pos'!CN$123</f>
        <v>0.70921985815602839</v>
      </c>
      <c r="CO15" s="43">
        <f>'Est gen ed 23 $$'!CO15/'Est gen ed 23 pos'!CO$123</f>
        <v>1</v>
      </c>
      <c r="CP15" s="43">
        <f>'Est gen ed 23 $$'!CP15/'Est gen ed 23 pos'!CP$123</f>
        <v>1</v>
      </c>
      <c r="CQ15" s="43">
        <f>'Est gen ed 23 $$'!CQ15/'Est gen ed 23 pos'!CQ$123</f>
        <v>0</v>
      </c>
      <c r="CR15" s="43">
        <f>'Est gen ed 23 $$'!CR15/'Est gen ed 23 pos'!CR$123</f>
        <v>0</v>
      </c>
      <c r="CS15" s="43">
        <f>'Est gen ed 23 $$'!CS15/'Est gen ed 23 pos'!CS$123</f>
        <v>0</v>
      </c>
      <c r="CT15" s="43">
        <f>'Est gen ed 23 $$'!CT15/'Est gen ed 23 pos'!CT$123</f>
        <v>0</v>
      </c>
      <c r="CU15" s="43">
        <f>'Est gen ed 23 $$'!CU15/'Est gen ed 23 pos'!CU$123</f>
        <v>34</v>
      </c>
      <c r="CZ15" s="43">
        <f>'Est gen ed 23 $$'!CW15/'Est gen ed 23 pos'!CZ$123</f>
        <v>0.9999965685612755</v>
      </c>
      <c r="DB15" s="28">
        <f t="shared" si="3"/>
        <v>4059252</v>
      </c>
      <c r="DC15" s="28">
        <f t="shared" si="0"/>
        <v>181663.35</v>
      </c>
      <c r="DK15" s="34"/>
      <c r="DL15" s="34"/>
    </row>
    <row r="16" spans="1:137" x14ac:dyDescent="0.2">
      <c r="A16">
        <v>291</v>
      </c>
      <c r="B16" t="s">
        <v>114</v>
      </c>
      <c r="C16" t="s">
        <v>7</v>
      </c>
      <c r="D16">
        <v>8</v>
      </c>
      <c r="E16">
        <f>VLOOKUP($A16,'[1]Init $$'!$B$3:$CG$118,4,FALSE)</f>
        <v>437</v>
      </c>
      <c r="F16">
        <f>VLOOKUP($A16,'[1]Init $$'!$B$3:$CG$118,6,FALSE)</f>
        <v>337</v>
      </c>
      <c r="G16">
        <f>VLOOKUP($A16,'[2]$$xSchpostCouncilxLevel'!$A$4:$EW$120,153,FALSE)</f>
        <v>335</v>
      </c>
      <c r="H16" s="50">
        <f t="shared" si="1"/>
        <v>2</v>
      </c>
      <c r="I16" s="4">
        <f>VLOOKUP($A16,'[1]Init $$'!$B$3:$CG$118,8,FALSE)</f>
        <v>0.75286041189931352</v>
      </c>
      <c r="J16">
        <f>VLOOKUP($A16,'[1]Init $$'!$B$3:$CG$118,7,FALSE)</f>
        <v>329</v>
      </c>
      <c r="K16" s="43">
        <f>'Est gen ed 23 $$'!K16/'Est gen ed 23 pos'!K$123</f>
        <v>1</v>
      </c>
      <c r="L16" s="43">
        <f>'Est gen ed 23 $$'!L16/'Est gen ed 23 pos'!L$123</f>
        <v>0</v>
      </c>
      <c r="M16" s="43">
        <f>'Est gen ed 23 $$'!M16/'Est gen ed 23 pos'!M$123</f>
        <v>0</v>
      </c>
      <c r="N16" s="43">
        <f>'Est gen ed 23 $$'!N16/'Est gen ed 23 pos'!N$123</f>
        <v>1</v>
      </c>
      <c r="O16" s="34">
        <f>VLOOKUP($A16,'[1]Init $$'!$B$3:$CG$118,15,FALSE)</f>
        <v>6251</v>
      </c>
      <c r="P16" s="43">
        <f>'Est gen ed 23 $$'!P16/'Est gen ed 23 pos'!P$123</f>
        <v>1</v>
      </c>
      <c r="Q16" s="43">
        <f>'Est gen ed 23 $$'!Q16/'Est gen ed 23 pos'!Q$123</f>
        <v>1</v>
      </c>
      <c r="R16" s="43">
        <f>'Est gen ed 23 $$'!R16/'Est gen ed 23 pos'!R$123</f>
        <v>2.0000001953611113</v>
      </c>
      <c r="S16" s="43">
        <f>'Est gen ed 23 $$'!S16/'Est gen ed 23 pos'!S$123</f>
        <v>1</v>
      </c>
      <c r="T16" s="43">
        <f>'Est gen ed 23 $$'!T16/'Est gen ed 23 pos'!T$123</f>
        <v>2.9999999121515879</v>
      </c>
      <c r="U16" s="43">
        <f>'Est gen ed 23 $$'!U16/'Est gen ed 23 pos'!U$123</f>
        <v>0</v>
      </c>
      <c r="V16" s="43">
        <f>'Est gen ed 23 $$'!V16/'Est gen ed 23 pos'!V$123</f>
        <v>2.9999999121515879</v>
      </c>
      <c r="W16" s="43">
        <f>'Est gen ed 23 $$'!W16/'Est gen ed 23 pos'!W$123</f>
        <v>5.9999994893586166</v>
      </c>
      <c r="X16" s="34">
        <f>VLOOKUP($A16,'[1]Init $$'!$B$3:$CG$118,24,FALSE)</f>
        <v>179190</v>
      </c>
      <c r="Y16" s="34">
        <f>VLOOKUP($A16,'[1]Init $$'!$B$3:$CG$118,25,FALSE)</f>
        <v>0</v>
      </c>
      <c r="Z16" s="34">
        <f>VLOOKUP($A16,'[1]Init $$'!$B$3:$CG$118,26,FALSE)</f>
        <v>0</v>
      </c>
      <c r="AA16" s="34">
        <f>VLOOKUP($A16,'[1]Init $$'!$B$3:$CG$118,27,FALSE)</f>
        <v>0</v>
      </c>
      <c r="AB16" s="43">
        <f>'Est gen ed 23 $$'!AB16/'Est gen ed 23 pos'!AB$123</f>
        <v>0</v>
      </c>
      <c r="AC16" s="43">
        <f>'Est gen ed 23 $$'!AC16/'Est gen ed 23 pos'!AC$123</f>
        <v>0</v>
      </c>
      <c r="AD16" s="43">
        <f>'Est gen ed 23 $$'!AD16/'Est gen ed 23 pos'!AD$123</f>
        <v>0</v>
      </c>
      <c r="AE16" s="43">
        <f>'Est gen ed 23 $$'!AE16/'Est gen ed 23 pos'!AE$123</f>
        <v>0</v>
      </c>
      <c r="AF16" s="34">
        <f>VLOOKUP($A16,'[1]Init $$'!$B$3:$CG$118,32,FALSE)</f>
        <v>2012901</v>
      </c>
      <c r="AG16" s="34">
        <f>VLOOKUP($A16,'[1]Init $$'!$B$3:$CG$118,33,FALSE)</f>
        <v>142025</v>
      </c>
      <c r="AH16" s="43">
        <f>'Est gen ed 23 $$'!AH16/'Est gen ed 23 pos'!AH$123</f>
        <v>1</v>
      </c>
      <c r="AI16" s="43">
        <f>'Est gen ed 23 $$'!AI16/'Est gen ed 23 pos'!AI$123</f>
        <v>1.9999999121515879</v>
      </c>
      <c r="AJ16" s="43">
        <f>'Est gen ed 23 $$'!AJ16/'Est gen ed 23 pos'!AJ$123</f>
        <v>2.9999999121515879</v>
      </c>
      <c r="AK16" s="43">
        <f>'Est gen ed 23 $$'!AK16/'Est gen ed 23 pos'!AK$123</f>
        <v>2.9999999121515879</v>
      </c>
      <c r="AL16" s="43">
        <f>'Est gen ed 23 $$'!AL16/'Est gen ed 23 pos'!AL$123</f>
        <v>5.9999994893586166</v>
      </c>
      <c r="AM16" s="43">
        <f>'Est gen ed 23 $$'!AM16/'Est gen ed 23 pos'!AM$123</f>
        <v>0</v>
      </c>
      <c r="AN16" s="43">
        <f>'Est gen ed 23 $$'!AN16/'Est gen ed 23 pos'!AN$123</f>
        <v>0</v>
      </c>
      <c r="AO16" s="43">
        <f>'Est gen ed 23 $$'!AO16/'Est gen ed 23 pos'!AO$123</f>
        <v>0</v>
      </c>
      <c r="AP16" s="34">
        <f>VLOOKUP($A16,'[1]Init $$'!$B$3:$CG$118,42,FALSE)</f>
        <v>114681.60000000001</v>
      </c>
      <c r="AQ16" s="34">
        <f>VLOOKUP($A16,'[1]Init $$'!$B$3:$CG$118,43,FALSE)</f>
        <v>0</v>
      </c>
      <c r="AR16" s="43">
        <f>'Est gen ed 23 $$'!AR16/'Est gen ed 23 pos'!AR$123</f>
        <v>0</v>
      </c>
      <c r="AS16" s="43">
        <f>'Est gen ed 23 $$'!AS16/'Est gen ed 23 pos'!AS$123</f>
        <v>0.13999997364547631</v>
      </c>
      <c r="AT16" s="43">
        <f>'Est gen ed 23 $$'!AT16/'Est gen ed 23 pos'!AT$123</f>
        <v>0</v>
      </c>
      <c r="AU16" s="34">
        <f>VLOOKUP($A16,'[1]Init $$'!$B$3:$CG$118,47,FALSE)</f>
        <v>5375.7</v>
      </c>
      <c r="AV16" s="34">
        <f>VLOOKUP($A16,'[1]Init $$'!$B$3:$CG$118,48,FALSE)</f>
        <v>20400</v>
      </c>
      <c r="AW16" s="34">
        <f>VLOOKUP($A16,'[1]Init $$'!$B$3:$CG$118,49,FALSE)</f>
        <v>20400</v>
      </c>
      <c r="AX16" s="34">
        <f>VLOOKUP($A16,'[1]Init $$'!$B$3:$CG$118,50,FALSE)</f>
        <v>10200</v>
      </c>
      <c r="AY16" s="34">
        <f>VLOOKUP($A16,'[1]Init $$'!$B$3:$CG$118,51,FALSE)</f>
        <v>0</v>
      </c>
      <c r="AZ16" s="34">
        <f>VLOOKUP($A16,'[1]Init $$'!$B$3:$CG$118,52,FALSE)</f>
        <v>20400</v>
      </c>
      <c r="BA16" s="34">
        <f>VLOOKUP($A16,'[1]Init $$'!$B$3:$CG$118,53,FALSE)</f>
        <v>0</v>
      </c>
      <c r="BB16" s="34">
        <f>VLOOKUP($A16,'[1]Init $$'!$B$3:$CG$118,54,FALSE)</f>
        <v>20400</v>
      </c>
      <c r="BC16" s="34">
        <f>VLOOKUP($A16,'[1]Init $$'!$B$3:$CG$118,55,FALSE)</f>
        <v>236496.17</v>
      </c>
      <c r="BD16" s="34">
        <f>VLOOKUP($A16,'[1]Init $$'!$B$3:$CG$118,56,FALSE)</f>
        <v>3809.37</v>
      </c>
      <c r="BE16" s="34">
        <f>VLOOKUP($A16,'[1]Init $$'!$B$3:$CG$118,57,FALSE)</f>
        <v>0</v>
      </c>
      <c r="BF16" s="43">
        <f>'Est gen ed 23 $$'!BF16/'Est gen ed 23 pos'!BF$123</f>
        <v>0</v>
      </c>
      <c r="BG16" s="43">
        <f>'Est gen ed 23 $$'!BG16/'Est gen ed 23 pos'!BG$123</f>
        <v>0</v>
      </c>
      <c r="BH16" s="34">
        <f>VLOOKUP($A16,'[1]Init $$'!$B$3:$CG$118,60,FALSE)</f>
        <v>0</v>
      </c>
      <c r="BI16" s="34">
        <f>VLOOKUP($A16,'[1]Init $$'!$B$3:$CG$118,61,FALSE)</f>
        <v>0</v>
      </c>
      <c r="BJ16" s="34">
        <f>VLOOKUP($A16,'[1]Init $$'!$B$3:$CG$118,62,FALSE)</f>
        <v>0</v>
      </c>
      <c r="BK16" s="43">
        <f>'Est gen ed 23 $$'!BK16/'Est gen ed 23 pos'!BK$123</f>
        <v>0</v>
      </c>
      <c r="BL16" s="34">
        <f>VLOOKUP($A16,'[1]Init $$'!$B$3:$CG$118,64,FALSE)</f>
        <v>0</v>
      </c>
      <c r="BM16" s="43">
        <f>'Est gen ed 23 $$'!BM16/'Est gen ed 23 pos'!BM$123</f>
        <v>0</v>
      </c>
      <c r="BN16" s="34">
        <f>VLOOKUP($A16,'[1]Init $$'!$B$3:$CG$118,66,FALSE)</f>
        <v>0</v>
      </c>
      <c r="BO16" s="43">
        <f>'Est gen ed 23 $$'!BO16/'Est gen ed 23 pos'!BO$123</f>
        <v>0</v>
      </c>
      <c r="BP16" s="34">
        <f>VLOOKUP($A16,'[1]Init $$'!$B$3:$CG$118,68,FALSE)</f>
        <v>0</v>
      </c>
      <c r="BQ16" s="43">
        <f>'Est gen ed 23 $$'!BQ16/'Est gen ed 23 pos'!BQ$123</f>
        <v>0</v>
      </c>
      <c r="BR16" s="43">
        <f>'Est gen ed 23 $$'!BR16/'Est gen ed 23 pos'!BR$123</f>
        <v>0</v>
      </c>
      <c r="BS16" s="34">
        <f>VLOOKUP($A16,'[1]Init $$'!$B$3:$CG$118,71,FALSE)</f>
        <v>0</v>
      </c>
      <c r="BT16" s="34">
        <f>VLOOKUP($A16,'[1]Init $$'!$B$3:$CG$118,72,FALSE)</f>
        <v>0</v>
      </c>
      <c r="BU16" s="34">
        <f>VLOOKUP($A16,'[1]Init $$'!$B$3:$CG$118,73,FALSE)</f>
        <v>0</v>
      </c>
      <c r="BV16" s="34">
        <f>VLOOKUP($A16,'[1]Init $$'!$B$3:$CG$118,74,FALSE)</f>
        <v>0</v>
      </c>
      <c r="BW16" s="34">
        <f>VLOOKUP($A16,'[1]Init $$'!$B$3:$CG$118,75,FALSE)</f>
        <v>0</v>
      </c>
      <c r="BX16" s="43">
        <f>'Est gen ed 23 $$'!BX16/'Est gen ed 23 pos'!BX$123</f>
        <v>0</v>
      </c>
      <c r="BY16" s="43">
        <f>'Est gen ed 23 $$'!BY16/'Est gen ed 23 pos'!BY$123</f>
        <v>0</v>
      </c>
      <c r="BZ16" s="43">
        <f>'Est gen ed 23 $$'!BZ16/'Est gen ed 23 pos'!BZ$123</f>
        <v>0</v>
      </c>
      <c r="CA16" s="34">
        <f>VLOOKUP($A16,'[1]Init $$'!$B$3:$CG$118,79,FALSE)</f>
        <v>882543.82</v>
      </c>
      <c r="CB16" s="34">
        <f>VLOOKUP($A16,'[1]Init $$'!$B$3:$CG$118,80,FALSE)</f>
        <v>184207.32</v>
      </c>
      <c r="CC16" s="34">
        <f>VLOOKUP($A16,'[1]Init $$'!$B$3:$CG$118,81,FALSE)</f>
        <v>0</v>
      </c>
      <c r="CD16" s="34">
        <f>VLOOKUP($A16,'[1]Init $$'!$B$3:$CG$118,82,FALSE)</f>
        <v>0</v>
      </c>
      <c r="CE16" s="34">
        <f>VLOOKUP($A16,'[1]Init $$'!$B$3:$CG$118,83,FALSE)</f>
        <v>49398.27</v>
      </c>
      <c r="CF16" s="34">
        <f>VLOOKUP($A16,'[1]Init $$'!$B$3:$CG$118,84,FALSE)</f>
        <v>0</v>
      </c>
      <c r="CJ16" s="28">
        <f t="shared" si="2"/>
        <v>3908713.3899987079</v>
      </c>
      <c r="CK16" s="43">
        <f>'Est gen ed 23 $$'!CK16/'Est gen ed 23 pos'!CK$123</f>
        <v>0.99999604682144683</v>
      </c>
      <c r="CL16" s="43">
        <f>'Est gen ed 23 $$'!CL16/'Est gen ed 23 pos'!CL$123</f>
        <v>1.0925</v>
      </c>
      <c r="CM16" s="43">
        <f>'Est gen ed 23 $$'!CM16/'Est gen ed 23 pos'!CM$123</f>
        <v>1</v>
      </c>
      <c r="CN16" s="43">
        <f>'Est gen ed 23 $$'!CN16/'Est gen ed 23 pos'!CN$123</f>
        <v>0.91533180778032042</v>
      </c>
      <c r="CO16" s="43">
        <f>'Est gen ed 23 $$'!CO16/'Est gen ed 23 pos'!CO$123</f>
        <v>0</v>
      </c>
      <c r="CP16" s="43">
        <f>'Est gen ed 23 $$'!CP16/'Est gen ed 23 pos'!CP$123</f>
        <v>0</v>
      </c>
      <c r="CQ16" s="43">
        <f>'Est gen ed 23 $$'!CQ16/'Est gen ed 23 pos'!CQ$123</f>
        <v>0.99999604682144683</v>
      </c>
      <c r="CR16" s="43">
        <f>'Est gen ed 23 $$'!CR16/'Est gen ed 23 pos'!CR$123</f>
        <v>0.99999604682144683</v>
      </c>
      <c r="CS16" s="43">
        <f>'Est gen ed 23 $$'!CS16/'Est gen ed 23 pos'!CS$123</f>
        <v>1.9999920936428937</v>
      </c>
      <c r="CT16" s="43">
        <f>'Est gen ed 23 $$'!CT16/'Est gen ed 23 pos'!CT$123</f>
        <v>3</v>
      </c>
      <c r="CU16" s="43">
        <f>'Est gen ed 23 $$'!CU16/'Est gen ed 23 pos'!CU$123</f>
        <v>18</v>
      </c>
      <c r="CZ16" s="43">
        <f>'Est gen ed 23 $$'!CW16/'Est gen ed 23 pos'!CZ$123</f>
        <v>0</v>
      </c>
      <c r="DB16" s="28">
        <f t="shared" si="3"/>
        <v>2012901</v>
      </c>
      <c r="DC16" s="28">
        <f t="shared" si="0"/>
        <v>49398.27</v>
      </c>
      <c r="DK16" s="34"/>
      <c r="DL16" s="34"/>
    </row>
    <row r="17" spans="1:116" x14ac:dyDescent="0.2">
      <c r="A17">
        <v>212</v>
      </c>
      <c r="B17" t="s">
        <v>113</v>
      </c>
      <c r="C17" t="s">
        <v>7</v>
      </c>
      <c r="D17">
        <v>6</v>
      </c>
      <c r="E17">
        <f>VLOOKUP($A17,'[1]Init $$'!$B$3:$CG$118,4,FALSE)</f>
        <v>428</v>
      </c>
      <c r="F17">
        <f>VLOOKUP($A17,'[1]Init $$'!$B$3:$CG$118,6,FALSE)</f>
        <v>364</v>
      </c>
      <c r="G17">
        <f>VLOOKUP($A17,'[2]$$xSchpostCouncilxLevel'!$A$4:$EW$120,153,FALSE)</f>
        <v>382</v>
      </c>
      <c r="H17" s="50">
        <f t="shared" si="1"/>
        <v>-18</v>
      </c>
      <c r="I17" s="4">
        <f>VLOOKUP($A17,'[1]Init $$'!$B$3:$CG$118,8,FALSE)</f>
        <v>5.1401869158878503E-2</v>
      </c>
      <c r="J17">
        <f>VLOOKUP($A17,'[1]Init $$'!$B$3:$CG$118,7,FALSE)</f>
        <v>22</v>
      </c>
      <c r="K17" s="43">
        <f>'Est gen ed 23 $$'!K17/'Est gen ed 23 pos'!K$123</f>
        <v>1</v>
      </c>
      <c r="L17" s="43">
        <f>'Est gen ed 23 $$'!L17/'Est gen ed 23 pos'!L$123</f>
        <v>0</v>
      </c>
      <c r="M17" s="43">
        <f>'Est gen ed 23 $$'!M17/'Est gen ed 23 pos'!M$123</f>
        <v>0</v>
      </c>
      <c r="N17" s="43">
        <f>'Est gen ed 23 $$'!N17/'Est gen ed 23 pos'!N$123</f>
        <v>1</v>
      </c>
      <c r="O17" s="34">
        <f>VLOOKUP($A17,'[1]Init $$'!$B$3:$CG$118,15,FALSE)</f>
        <v>4794.3999999999996</v>
      </c>
      <c r="P17" s="43">
        <f>'Est gen ed 23 $$'!P17/'Est gen ed 23 pos'!P$123</f>
        <v>1</v>
      </c>
      <c r="Q17" s="43">
        <f>'Est gen ed 23 $$'!Q17/'Est gen ed 23 pos'!Q$123</f>
        <v>1</v>
      </c>
      <c r="R17" s="43">
        <f>'Est gen ed 23 $$'!R17/'Est gen ed 23 pos'!R$123</f>
        <v>2.0000001953611113</v>
      </c>
      <c r="S17" s="43">
        <f>'Est gen ed 23 $$'!S17/'Est gen ed 23 pos'!S$123</f>
        <v>1</v>
      </c>
      <c r="T17" s="43">
        <f>'Est gen ed 23 $$'!T17/'Est gen ed 23 pos'!T$123</f>
        <v>0</v>
      </c>
      <c r="U17" s="43">
        <f>'Est gen ed 23 $$'!U17/'Est gen ed 23 pos'!U$123</f>
        <v>3.9999998243031758</v>
      </c>
      <c r="V17" s="43">
        <f>'Est gen ed 23 $$'!V17/'Est gen ed 23 pos'!V$123</f>
        <v>0</v>
      </c>
      <c r="W17" s="43">
        <f>'Est gen ed 23 $$'!W17/'Est gen ed 23 pos'!W$123</f>
        <v>3.9999997446793079</v>
      </c>
      <c r="X17" s="34">
        <f>VLOOKUP($A17,'[1]Init $$'!$B$3:$CG$118,24,FALSE)</f>
        <v>114681.60000000001</v>
      </c>
      <c r="Y17" s="34">
        <f>VLOOKUP($A17,'[1]Init $$'!$B$3:$CG$118,25,FALSE)</f>
        <v>0</v>
      </c>
      <c r="Z17" s="34">
        <f>VLOOKUP($A17,'[1]Init $$'!$B$3:$CG$118,26,FALSE)</f>
        <v>0</v>
      </c>
      <c r="AA17" s="34">
        <f>VLOOKUP($A17,'[1]Init $$'!$B$3:$CG$118,27,FALSE)</f>
        <v>0</v>
      </c>
      <c r="AB17" s="43">
        <f>'Est gen ed 23 $$'!AB17/'Est gen ed 23 pos'!AB$123</f>
        <v>0</v>
      </c>
      <c r="AC17" s="43">
        <f>'Est gen ed 23 $$'!AC17/'Est gen ed 23 pos'!AC$123</f>
        <v>0</v>
      </c>
      <c r="AD17" s="43">
        <f>'Est gen ed 23 $$'!AD17/'Est gen ed 23 pos'!AD$123</f>
        <v>0</v>
      </c>
      <c r="AE17" s="43">
        <f>'Est gen ed 23 $$'!AE17/'Est gen ed 23 pos'!AE$123</f>
        <v>0</v>
      </c>
      <c r="AF17" s="34">
        <f>VLOOKUP($A17,'[1]Init $$'!$B$3:$CG$118,32,FALSE)</f>
        <v>2174172</v>
      </c>
      <c r="AG17" s="34">
        <f>VLOOKUP($A17,'[1]Init $$'!$B$3:$CG$118,33,FALSE)</f>
        <v>139100</v>
      </c>
      <c r="AH17" s="43">
        <f>'Est gen ed 23 $$'!AH17/'Est gen ed 23 pos'!AH$123</f>
        <v>1</v>
      </c>
      <c r="AI17" s="43">
        <f>'Est gen ed 23 $$'!AI17/'Est gen ed 23 pos'!AI$123</f>
        <v>1</v>
      </c>
      <c r="AJ17" s="43">
        <f>'Est gen ed 23 $$'!AJ17/'Est gen ed 23 pos'!AJ$123</f>
        <v>2.9999999121515879</v>
      </c>
      <c r="AK17" s="43">
        <f>'Est gen ed 23 $$'!AK17/'Est gen ed 23 pos'!AK$123</f>
        <v>0</v>
      </c>
      <c r="AL17" s="43">
        <f>'Est gen ed 23 $$'!AL17/'Est gen ed 23 pos'!AL$123</f>
        <v>0</v>
      </c>
      <c r="AM17" s="43">
        <f>'Est gen ed 23 $$'!AM17/'Est gen ed 23 pos'!AM$123</f>
        <v>0</v>
      </c>
      <c r="AN17" s="43">
        <f>'Est gen ed 23 $$'!AN17/'Est gen ed 23 pos'!AN$123</f>
        <v>0</v>
      </c>
      <c r="AO17" s="43">
        <f>'Est gen ed 23 $$'!AO17/'Est gen ed 23 pos'!AO$123</f>
        <v>0</v>
      </c>
      <c r="AP17" s="34">
        <f>VLOOKUP($A17,'[1]Init $$'!$B$3:$CG$118,42,FALSE)</f>
        <v>87803.1</v>
      </c>
      <c r="AQ17" s="34">
        <f>VLOOKUP($A17,'[1]Init $$'!$B$3:$CG$118,43,FALSE)</f>
        <v>0</v>
      </c>
      <c r="AR17" s="43">
        <f>'Est gen ed 23 $$'!AR17/'Est gen ed 23 pos'!AR$123</f>
        <v>1</v>
      </c>
      <c r="AS17" s="43">
        <f>'Est gen ed 23 $$'!AS17/'Est gen ed 23 pos'!AS$123</f>
        <v>0</v>
      </c>
      <c r="AT17" s="43">
        <f>'Est gen ed 23 $$'!AT17/'Est gen ed 23 pos'!AT$123</f>
        <v>0</v>
      </c>
      <c r="AU17" s="34">
        <f>VLOOKUP($A17,'[1]Init $$'!$B$3:$CG$118,47,FALSE)</f>
        <v>30462.3</v>
      </c>
      <c r="AV17" s="34">
        <f>VLOOKUP($A17,'[1]Init $$'!$B$3:$CG$118,48,FALSE)</f>
        <v>0</v>
      </c>
      <c r="AW17" s="34">
        <f>VLOOKUP($A17,'[1]Init $$'!$B$3:$CG$118,49,FALSE)</f>
        <v>0</v>
      </c>
      <c r="AX17" s="34">
        <f>VLOOKUP($A17,'[1]Init $$'!$B$3:$CG$118,50,FALSE)</f>
        <v>0</v>
      </c>
      <c r="AY17" s="34">
        <f>VLOOKUP($A17,'[1]Init $$'!$B$3:$CG$118,51,FALSE)</f>
        <v>0</v>
      </c>
      <c r="AZ17" s="34">
        <f>VLOOKUP($A17,'[1]Init $$'!$B$3:$CG$118,52,FALSE)</f>
        <v>0</v>
      </c>
      <c r="BA17" s="34">
        <f>VLOOKUP($A17,'[1]Init $$'!$B$3:$CG$118,53,FALSE)</f>
        <v>0</v>
      </c>
      <c r="BB17" s="34">
        <f>VLOOKUP($A17,'[1]Init $$'!$B$3:$CG$118,54,FALSE)</f>
        <v>0</v>
      </c>
      <c r="BC17" s="34">
        <f>VLOOKUP($A17,'[1]Init $$'!$B$3:$CG$118,55,FALSE)</f>
        <v>0</v>
      </c>
      <c r="BD17" s="34">
        <f>VLOOKUP($A17,'[1]Init $$'!$B$3:$CG$118,56,FALSE)</f>
        <v>0</v>
      </c>
      <c r="BE17" s="34">
        <f>VLOOKUP($A17,'[1]Init $$'!$B$3:$CG$118,57,FALSE)</f>
        <v>10700</v>
      </c>
      <c r="BF17" s="43">
        <f>'Est gen ed 23 $$'!BF17/'Est gen ed 23 pos'!BF$123</f>
        <v>0</v>
      </c>
      <c r="BG17" s="43">
        <f>'Est gen ed 23 $$'!BG17/'Est gen ed 23 pos'!BG$123</f>
        <v>0</v>
      </c>
      <c r="BH17" s="34">
        <f>VLOOKUP($A17,'[1]Init $$'!$B$3:$CG$118,60,FALSE)</f>
        <v>0</v>
      </c>
      <c r="BI17" s="34">
        <f>VLOOKUP($A17,'[1]Init $$'!$B$3:$CG$118,61,FALSE)</f>
        <v>0</v>
      </c>
      <c r="BJ17" s="34">
        <f>VLOOKUP($A17,'[1]Init $$'!$B$3:$CG$118,62,FALSE)</f>
        <v>0</v>
      </c>
      <c r="BK17" s="43">
        <f>'Est gen ed 23 $$'!BK17/'Est gen ed 23 pos'!BK$123</f>
        <v>0</v>
      </c>
      <c r="BL17" s="34">
        <f>VLOOKUP($A17,'[1]Init $$'!$B$3:$CG$118,64,FALSE)</f>
        <v>0</v>
      </c>
      <c r="BM17" s="43">
        <f>'Est gen ed 23 $$'!BM17/'Est gen ed 23 pos'!BM$123</f>
        <v>0</v>
      </c>
      <c r="BN17" s="34">
        <f>VLOOKUP($A17,'[1]Init $$'!$B$3:$CG$118,66,FALSE)</f>
        <v>0</v>
      </c>
      <c r="BO17" s="43">
        <f>'Est gen ed 23 $$'!BO17/'Est gen ed 23 pos'!BO$123</f>
        <v>0</v>
      </c>
      <c r="BP17" s="34">
        <f>VLOOKUP($A17,'[1]Init $$'!$B$3:$CG$118,68,FALSE)</f>
        <v>0</v>
      </c>
      <c r="BQ17" s="43">
        <f>'Est gen ed 23 $$'!BQ17/'Est gen ed 23 pos'!BQ$123</f>
        <v>0</v>
      </c>
      <c r="BR17" s="43">
        <f>'Est gen ed 23 $$'!BR17/'Est gen ed 23 pos'!BR$123</f>
        <v>0</v>
      </c>
      <c r="BS17" s="34">
        <f>VLOOKUP($A17,'[1]Init $$'!$B$3:$CG$118,71,FALSE)</f>
        <v>0</v>
      </c>
      <c r="BT17" s="34">
        <f>VLOOKUP($A17,'[1]Init $$'!$B$3:$CG$118,72,FALSE)</f>
        <v>0</v>
      </c>
      <c r="BU17" s="34">
        <f>VLOOKUP($A17,'[1]Init $$'!$B$3:$CG$118,73,FALSE)</f>
        <v>0</v>
      </c>
      <c r="BV17" s="34">
        <f>VLOOKUP($A17,'[1]Init $$'!$B$3:$CG$118,74,FALSE)</f>
        <v>0</v>
      </c>
      <c r="BW17" s="34">
        <f>VLOOKUP($A17,'[1]Init $$'!$B$3:$CG$118,75,FALSE)</f>
        <v>0</v>
      </c>
      <c r="BX17" s="43">
        <f>'Est gen ed 23 $$'!BX17/'Est gen ed 23 pos'!BX$123</f>
        <v>0</v>
      </c>
      <c r="BY17" s="43">
        <f>'Est gen ed 23 $$'!BY17/'Est gen ed 23 pos'!BY$123</f>
        <v>0</v>
      </c>
      <c r="BZ17" s="43">
        <f>'Est gen ed 23 $$'!BZ17/'Est gen ed 23 pos'!BZ$123</f>
        <v>0</v>
      </c>
      <c r="CA17" s="34">
        <f>VLOOKUP($A17,'[1]Init $$'!$B$3:$CG$118,79,FALSE)</f>
        <v>59015.09</v>
      </c>
      <c r="CB17" s="34">
        <f>VLOOKUP($A17,'[1]Init $$'!$B$3:$CG$118,80,FALSE)</f>
        <v>0</v>
      </c>
      <c r="CC17" s="34">
        <f>VLOOKUP($A17,'[1]Init $$'!$B$3:$CG$118,81,FALSE)</f>
        <v>262206.31</v>
      </c>
      <c r="CD17" s="34">
        <f>VLOOKUP($A17,'[1]Init $$'!$B$3:$CG$118,82,FALSE)</f>
        <v>271874.07</v>
      </c>
      <c r="CE17" s="34">
        <f>VLOOKUP($A17,'[1]Init $$'!$B$3:$CG$118,83,FALSE)</f>
        <v>366299.78</v>
      </c>
      <c r="CF17" s="34">
        <f>VLOOKUP($A17,'[1]Init $$'!$B$3:$CG$118,84,FALSE)</f>
        <v>73707.88</v>
      </c>
      <c r="CJ17" s="28">
        <f t="shared" si="2"/>
        <v>3594837.5299996762</v>
      </c>
      <c r="CK17" s="43">
        <f>'Est gen ed 23 $$'!CK17/'Est gen ed 23 pos'!CK$123</f>
        <v>0.99999604682144683</v>
      </c>
      <c r="CL17" s="43">
        <f>'Est gen ed 23 $$'!CL17/'Est gen ed 23 pos'!CL$123</f>
        <v>1.07</v>
      </c>
      <c r="CM17" s="43">
        <f>'Est gen ed 23 $$'!CM17/'Est gen ed 23 pos'!CM$123</f>
        <v>1</v>
      </c>
      <c r="CN17" s="43">
        <f>'Est gen ed 23 $$'!CN17/'Est gen ed 23 pos'!CN$123</f>
        <v>0.93457943925233644</v>
      </c>
      <c r="CO17" s="43">
        <f>'Est gen ed 23 $$'!CO17/'Est gen ed 23 pos'!CO$123</f>
        <v>0</v>
      </c>
      <c r="CP17" s="43">
        <f>'Est gen ed 23 $$'!CP17/'Est gen ed 23 pos'!CP$123</f>
        <v>0</v>
      </c>
      <c r="CQ17" s="43">
        <f>'Est gen ed 23 $$'!CQ17/'Est gen ed 23 pos'!CQ$123</f>
        <v>0.99999604682144683</v>
      </c>
      <c r="CR17" s="43">
        <f>'Est gen ed 23 $$'!CR17/'Est gen ed 23 pos'!CR$123</f>
        <v>0.99999604682144683</v>
      </c>
      <c r="CS17" s="43">
        <f>'Est gen ed 23 $$'!CS17/'Est gen ed 23 pos'!CS$123</f>
        <v>1.9999920936428937</v>
      </c>
      <c r="CT17" s="43">
        <f>'Est gen ed 23 $$'!CT17/'Est gen ed 23 pos'!CT$123</f>
        <v>3</v>
      </c>
      <c r="CU17" s="43">
        <f>'Est gen ed 23 $$'!CU17/'Est gen ed 23 pos'!CU$123</f>
        <v>19</v>
      </c>
      <c r="CZ17" s="43">
        <f>'Est gen ed 23 $$'!CW17/'Est gen ed 23 pos'!CZ$123</f>
        <v>0</v>
      </c>
      <c r="DB17" s="28">
        <f t="shared" si="3"/>
        <v>2174172</v>
      </c>
      <c r="DC17" s="28">
        <f t="shared" si="0"/>
        <v>974088.04</v>
      </c>
      <c r="DK17" s="34"/>
      <c r="DL17" s="34"/>
    </row>
    <row r="18" spans="1:116" x14ac:dyDescent="0.2">
      <c r="A18">
        <v>213</v>
      </c>
      <c r="B18" t="s">
        <v>360</v>
      </c>
      <c r="C18" t="s">
        <v>7</v>
      </c>
      <c r="D18">
        <v>4</v>
      </c>
      <c r="E18">
        <f>VLOOKUP($A18,'[1]Init $$'!$B$3:$CG$118,4,FALSE)</f>
        <v>596</v>
      </c>
      <c r="F18">
        <f>VLOOKUP($A18,'[1]Init $$'!$B$3:$CG$118,6,FALSE)</f>
        <v>495</v>
      </c>
      <c r="G18">
        <f>VLOOKUP($A18,'[2]$$xSchpostCouncilxLevel'!$A$4:$EW$120,153,FALSE)</f>
        <v>466</v>
      </c>
      <c r="H18" s="50">
        <f t="shared" si="1"/>
        <v>29</v>
      </c>
      <c r="I18" s="4">
        <f>VLOOKUP($A18,'[1]Init $$'!$B$3:$CG$118,8,FALSE)</f>
        <v>0.40604026845637586</v>
      </c>
      <c r="J18">
        <f>VLOOKUP($A18,'[1]Init $$'!$B$3:$CG$118,7,FALSE)</f>
        <v>242</v>
      </c>
      <c r="K18" s="43">
        <f>'Est gen ed 23 $$'!K18/'Est gen ed 23 pos'!K$123</f>
        <v>1</v>
      </c>
      <c r="L18" s="43">
        <f>'Est gen ed 23 $$'!L18/'Est gen ed 23 pos'!L$123</f>
        <v>0</v>
      </c>
      <c r="M18" s="43">
        <f>'Est gen ed 23 $$'!M18/'Est gen ed 23 pos'!M$123</f>
        <v>0</v>
      </c>
      <c r="N18" s="43">
        <f>'Est gen ed 23 $$'!N18/'Est gen ed 23 pos'!N$123</f>
        <v>1</v>
      </c>
      <c r="O18" s="34">
        <f>VLOOKUP($A18,'[1]Init $$'!$B$3:$CG$118,15,FALSE)</f>
        <v>6877.6</v>
      </c>
      <c r="P18" s="43">
        <f>'Est gen ed 23 $$'!P18/'Est gen ed 23 pos'!P$123</f>
        <v>1</v>
      </c>
      <c r="Q18" s="43">
        <f>'Est gen ed 23 $$'!Q18/'Est gen ed 23 pos'!Q$123</f>
        <v>1</v>
      </c>
      <c r="R18" s="43">
        <f>'Est gen ed 23 $$'!R18/'Est gen ed 23 pos'!R$123</f>
        <v>3.0000001953611113</v>
      </c>
      <c r="S18" s="43">
        <f>'Est gen ed 23 $$'!S18/'Est gen ed 23 pos'!S$123</f>
        <v>1</v>
      </c>
      <c r="T18" s="43">
        <f>'Est gen ed 23 $$'!T18/'Est gen ed 23 pos'!T$123</f>
        <v>2.9999999121515879</v>
      </c>
      <c r="U18" s="43">
        <f>'Est gen ed 23 $$'!U18/'Est gen ed 23 pos'!U$123</f>
        <v>0</v>
      </c>
      <c r="V18" s="43">
        <f>'Est gen ed 23 $$'!V18/'Est gen ed 23 pos'!V$123</f>
        <v>2.9999999121515879</v>
      </c>
      <c r="W18" s="43">
        <f>'Est gen ed 23 $$'!W18/'Est gen ed 23 pos'!W$123</f>
        <v>5.9999994893586166</v>
      </c>
      <c r="X18" s="34">
        <f>VLOOKUP($A18,'[1]Init $$'!$B$3:$CG$118,24,FALSE)</f>
        <v>180981.9</v>
      </c>
      <c r="Y18" s="34">
        <f>VLOOKUP($A18,'[1]Init $$'!$B$3:$CG$118,25,FALSE)</f>
        <v>0</v>
      </c>
      <c r="Z18" s="34">
        <f>VLOOKUP($A18,'[1]Init $$'!$B$3:$CG$118,26,FALSE)</f>
        <v>0</v>
      </c>
      <c r="AA18" s="34">
        <f>VLOOKUP($A18,'[1]Init $$'!$B$3:$CG$118,27,FALSE)</f>
        <v>0</v>
      </c>
      <c r="AB18" s="43">
        <f>'Est gen ed 23 $$'!AB18/'Est gen ed 23 pos'!AB$123</f>
        <v>0</v>
      </c>
      <c r="AC18" s="43">
        <f>'Est gen ed 23 $$'!AC18/'Est gen ed 23 pos'!AC$123</f>
        <v>0</v>
      </c>
      <c r="AD18" s="43">
        <f>'Est gen ed 23 $$'!AD18/'Est gen ed 23 pos'!AD$123</f>
        <v>0</v>
      </c>
      <c r="AE18" s="43">
        <f>'Est gen ed 23 $$'!AE18/'Est gen ed 23 pos'!AE$123</f>
        <v>0</v>
      </c>
      <c r="AF18" s="34">
        <f>VLOOKUP($A18,'[1]Init $$'!$B$3:$CG$118,32,FALSE)</f>
        <v>2956635</v>
      </c>
      <c r="AG18" s="34">
        <f>VLOOKUP($A18,'[1]Init $$'!$B$3:$CG$118,33,FALSE)</f>
        <v>193700</v>
      </c>
      <c r="AH18" s="43">
        <f>'Est gen ed 23 $$'!AH18/'Est gen ed 23 pos'!AH$123</f>
        <v>1</v>
      </c>
      <c r="AI18" s="43">
        <f>'Est gen ed 23 $$'!AI18/'Est gen ed 23 pos'!AI$123</f>
        <v>2.9999999121515879</v>
      </c>
      <c r="AJ18" s="43">
        <f>'Est gen ed 23 $$'!AJ18/'Est gen ed 23 pos'!AJ$123</f>
        <v>7.9999997364547628</v>
      </c>
      <c r="AK18" s="43">
        <f>'Est gen ed 23 $$'!AK18/'Est gen ed 23 pos'!AK$123</f>
        <v>2.9999999121515879</v>
      </c>
      <c r="AL18" s="43">
        <f>'Est gen ed 23 $$'!AL18/'Est gen ed 23 pos'!AL$123</f>
        <v>5.9999994893586166</v>
      </c>
      <c r="AM18" s="43">
        <f>'Est gen ed 23 $$'!AM18/'Est gen ed 23 pos'!AM$123</f>
        <v>0</v>
      </c>
      <c r="AN18" s="43">
        <f>'Est gen ed 23 $$'!AN18/'Est gen ed 23 pos'!AN$123</f>
        <v>0</v>
      </c>
      <c r="AO18" s="43">
        <f>'Est gen ed 23 $$'!AO18/'Est gen ed 23 pos'!AO$123</f>
        <v>0</v>
      </c>
      <c r="AP18" s="34">
        <f>VLOOKUP($A18,'[1]Init $$'!$B$3:$CG$118,42,FALSE)</f>
        <v>200692.8</v>
      </c>
      <c r="AQ18" s="34">
        <f>VLOOKUP($A18,'[1]Init $$'!$B$3:$CG$118,43,FALSE)</f>
        <v>0</v>
      </c>
      <c r="AR18" s="43">
        <f>'Est gen ed 23 $$'!AR18/'Est gen ed 23 pos'!AR$123</f>
        <v>23.99999920936429</v>
      </c>
      <c r="AS18" s="43">
        <f>'Est gen ed 23 $$'!AS18/'Est gen ed 23 pos'!AS$123</f>
        <v>0</v>
      </c>
      <c r="AT18" s="43">
        <f>'Est gen ed 23 $$'!AT18/'Est gen ed 23 pos'!AT$123</f>
        <v>2.9999997446793083</v>
      </c>
      <c r="AU18" s="34">
        <f>VLOOKUP($A18,'[1]Init $$'!$B$3:$CG$118,47,FALSE)</f>
        <v>942539.4</v>
      </c>
      <c r="AV18" s="34">
        <f>VLOOKUP($A18,'[1]Init $$'!$B$3:$CG$118,48,FALSE)</f>
        <v>34000</v>
      </c>
      <c r="AW18" s="34">
        <f>VLOOKUP($A18,'[1]Init $$'!$B$3:$CG$118,49,FALSE)</f>
        <v>34000</v>
      </c>
      <c r="AX18" s="34">
        <f>VLOOKUP($A18,'[1]Init $$'!$B$3:$CG$118,50,FALSE)</f>
        <v>10200</v>
      </c>
      <c r="AY18" s="34">
        <f>VLOOKUP($A18,'[1]Init $$'!$B$3:$CG$118,51,FALSE)</f>
        <v>0</v>
      </c>
      <c r="AZ18" s="34">
        <f>VLOOKUP($A18,'[1]Init $$'!$B$3:$CG$118,52,FALSE)</f>
        <v>27200</v>
      </c>
      <c r="BA18" s="34">
        <f>VLOOKUP($A18,'[1]Init $$'!$B$3:$CG$118,53,FALSE)</f>
        <v>0</v>
      </c>
      <c r="BB18" s="34">
        <f>VLOOKUP($A18,'[1]Init $$'!$B$3:$CG$118,54,FALSE)</f>
        <v>27200</v>
      </c>
      <c r="BC18" s="34">
        <f>VLOOKUP($A18,'[1]Init $$'!$B$3:$CG$118,55,FALSE)</f>
        <v>166250.85999999999</v>
      </c>
      <c r="BD18" s="34">
        <f>VLOOKUP($A18,'[1]Init $$'!$B$3:$CG$118,56,FALSE)</f>
        <v>2677.89</v>
      </c>
      <c r="BE18" s="34">
        <f>VLOOKUP($A18,'[1]Init $$'!$B$3:$CG$118,57,FALSE)</f>
        <v>0</v>
      </c>
      <c r="BF18" s="43">
        <f>'Est gen ed 23 $$'!BF18/'Est gen ed 23 pos'!BF$123</f>
        <v>0</v>
      </c>
      <c r="BG18" s="43">
        <f>'Est gen ed 23 $$'!BG18/'Est gen ed 23 pos'!BG$123</f>
        <v>0</v>
      </c>
      <c r="BH18" s="34">
        <f>VLOOKUP($A18,'[1]Init $$'!$B$3:$CG$118,60,FALSE)</f>
        <v>0</v>
      </c>
      <c r="BI18" s="34">
        <f>VLOOKUP($A18,'[1]Init $$'!$B$3:$CG$118,61,FALSE)</f>
        <v>0</v>
      </c>
      <c r="BJ18" s="34">
        <f>VLOOKUP($A18,'[1]Init $$'!$B$3:$CG$118,62,FALSE)</f>
        <v>0</v>
      </c>
      <c r="BK18" s="43">
        <f>'Est gen ed 23 $$'!BK18/'Est gen ed 23 pos'!BK$123</f>
        <v>0</v>
      </c>
      <c r="BL18" s="34">
        <f>VLOOKUP($A18,'[1]Init $$'!$B$3:$CG$118,64,FALSE)</f>
        <v>0</v>
      </c>
      <c r="BM18" s="43">
        <f>'Est gen ed 23 $$'!BM18/'Est gen ed 23 pos'!BM$123</f>
        <v>0</v>
      </c>
      <c r="BN18" s="34">
        <f>VLOOKUP($A18,'[1]Init $$'!$B$3:$CG$118,66,FALSE)</f>
        <v>0</v>
      </c>
      <c r="BO18" s="43">
        <f>'Est gen ed 23 $$'!BO18/'Est gen ed 23 pos'!BO$123</f>
        <v>0</v>
      </c>
      <c r="BP18" s="34">
        <f>VLOOKUP($A18,'[1]Init $$'!$B$3:$CG$118,68,FALSE)</f>
        <v>0</v>
      </c>
      <c r="BQ18" s="43">
        <f>'Est gen ed 23 $$'!BQ18/'Est gen ed 23 pos'!BQ$123</f>
        <v>0</v>
      </c>
      <c r="BR18" s="43">
        <f>'Est gen ed 23 $$'!BR18/'Est gen ed 23 pos'!BR$123</f>
        <v>0</v>
      </c>
      <c r="BS18" s="34">
        <f>VLOOKUP($A18,'[1]Init $$'!$B$3:$CG$118,71,FALSE)</f>
        <v>0</v>
      </c>
      <c r="BT18" s="34">
        <f>VLOOKUP($A18,'[1]Init $$'!$B$3:$CG$118,72,FALSE)</f>
        <v>0</v>
      </c>
      <c r="BU18" s="34">
        <f>VLOOKUP($A18,'[1]Init $$'!$B$3:$CG$118,73,FALSE)</f>
        <v>15325</v>
      </c>
      <c r="BV18" s="34">
        <f>VLOOKUP($A18,'[1]Init $$'!$B$3:$CG$118,74,FALSE)</f>
        <v>0</v>
      </c>
      <c r="BW18" s="34">
        <f>VLOOKUP($A18,'[1]Init $$'!$B$3:$CG$118,75,FALSE)</f>
        <v>0</v>
      </c>
      <c r="BX18" s="43">
        <f>'Est gen ed 23 $$'!BX18/'Est gen ed 23 pos'!BX$123</f>
        <v>0</v>
      </c>
      <c r="BY18" s="43">
        <f>'Est gen ed 23 $$'!BY18/'Est gen ed 23 pos'!BY$123</f>
        <v>0</v>
      </c>
      <c r="BZ18" s="43">
        <f>'Est gen ed 23 $$'!BZ18/'Est gen ed 23 pos'!BZ$123</f>
        <v>0</v>
      </c>
      <c r="CA18" s="34">
        <f>VLOOKUP($A18,'[1]Init $$'!$B$3:$CG$118,79,FALSE)</f>
        <v>649165.97</v>
      </c>
      <c r="CB18" s="34">
        <f>VLOOKUP($A18,'[1]Init $$'!$B$3:$CG$118,80,FALSE)</f>
        <v>4300.5600000000004</v>
      </c>
      <c r="CC18" s="34">
        <f>VLOOKUP($A18,'[1]Init $$'!$B$3:$CG$118,81,FALSE)</f>
        <v>0</v>
      </c>
      <c r="CD18" s="34">
        <f>VLOOKUP($A18,'[1]Init $$'!$B$3:$CG$118,82,FALSE)</f>
        <v>0</v>
      </c>
      <c r="CE18" s="34">
        <f>VLOOKUP($A18,'[1]Init $$'!$B$3:$CG$118,83,FALSE)</f>
        <v>0</v>
      </c>
      <c r="CF18" s="34">
        <f>VLOOKUP($A18,'[1]Init $$'!$B$3:$CG$118,84,FALSE)</f>
        <v>0</v>
      </c>
      <c r="CJ18" s="28">
        <f t="shared" si="2"/>
        <v>5451814.979997512</v>
      </c>
      <c r="CK18" s="43">
        <f>'Est gen ed 23 $$'!CK18/'Est gen ed 23 pos'!CK$123</f>
        <v>0.99999604682144683</v>
      </c>
      <c r="CL18" s="43">
        <f>'Est gen ed 23 $$'!CL18/'Est gen ed 23 pos'!CL$123</f>
        <v>1.49</v>
      </c>
      <c r="CM18" s="43">
        <f>'Est gen ed 23 $$'!CM18/'Est gen ed 23 pos'!CM$123</f>
        <v>1</v>
      </c>
      <c r="CN18" s="43">
        <f>'Est gen ed 23 $$'!CN18/'Est gen ed 23 pos'!CN$123</f>
        <v>0.67114093959731558</v>
      </c>
      <c r="CO18" s="43">
        <f>'Est gen ed 23 $$'!CO18/'Est gen ed 23 pos'!CO$123</f>
        <v>0</v>
      </c>
      <c r="CP18" s="43">
        <f>'Est gen ed 23 $$'!CP18/'Est gen ed 23 pos'!CP$123</f>
        <v>0</v>
      </c>
      <c r="CQ18" s="43">
        <f>'Est gen ed 23 $$'!CQ18/'Est gen ed 23 pos'!CQ$123</f>
        <v>1.4999940702321701</v>
      </c>
      <c r="CR18" s="43">
        <f>'Est gen ed 23 $$'!CR18/'Est gen ed 23 pos'!CR$123</f>
        <v>1.4999940702321701</v>
      </c>
      <c r="CS18" s="43">
        <f>'Est gen ed 23 $$'!CS18/'Est gen ed 23 pos'!CS$123</f>
        <v>2.499990117053617</v>
      </c>
      <c r="CT18" s="43">
        <f>'Est gen ed 23 $$'!CT18/'Est gen ed 23 pos'!CT$123</f>
        <v>4</v>
      </c>
      <c r="CU18" s="43">
        <f>'Est gen ed 23 $$'!CU18/'Est gen ed 23 pos'!CU$123</f>
        <v>25</v>
      </c>
      <c r="CW18" t="s">
        <v>361</v>
      </c>
      <c r="CZ18" s="43">
        <f>'Est gen ed 23 $$'!CW18/'Est gen ed 23 pos'!CZ$123</f>
        <v>0</v>
      </c>
      <c r="DB18" s="28">
        <f t="shared" si="3"/>
        <v>2956635</v>
      </c>
      <c r="DC18" s="28">
        <f t="shared" si="0"/>
        <v>0</v>
      </c>
      <c r="DK18" s="34"/>
      <c r="DL18" s="34"/>
    </row>
    <row r="19" spans="1:116" x14ac:dyDescent="0.2">
      <c r="A19">
        <v>347</v>
      </c>
      <c r="B19" t="s">
        <v>111</v>
      </c>
      <c r="C19" t="s">
        <v>19</v>
      </c>
      <c r="D19">
        <v>5</v>
      </c>
      <c r="E19">
        <f>VLOOKUP($A19,'[1]Init $$'!$B$3:$CG$118,4,FALSE)</f>
        <v>329</v>
      </c>
      <c r="F19">
        <f>VLOOKUP($A19,'[1]Init $$'!$B$3:$CG$118,6,FALSE)</f>
        <v>329</v>
      </c>
      <c r="G19">
        <f>VLOOKUP($A19,'[2]$$xSchpostCouncilxLevel'!$A$4:$EW$120,153,FALSE)</f>
        <v>359</v>
      </c>
      <c r="H19" s="50">
        <f t="shared" si="1"/>
        <v>-30</v>
      </c>
      <c r="I19" s="4">
        <f>VLOOKUP($A19,'[1]Init $$'!$B$3:$CG$118,8,FALSE)</f>
        <v>0.54407294832826747</v>
      </c>
      <c r="J19">
        <f>VLOOKUP($A19,'[1]Init $$'!$B$3:$CG$118,7,FALSE)</f>
        <v>179</v>
      </c>
      <c r="K19" s="43">
        <f>'Est gen ed 23 $$'!K19/'Est gen ed 23 pos'!K$123</f>
        <v>1</v>
      </c>
      <c r="L19" s="43">
        <f>'Est gen ed 23 $$'!L19/'Est gen ed 23 pos'!L$123</f>
        <v>1</v>
      </c>
      <c r="M19" s="43">
        <f>'Est gen ed 23 $$'!M19/'Est gen ed 23 pos'!M$123</f>
        <v>0</v>
      </c>
      <c r="N19" s="43">
        <f>'Est gen ed 23 $$'!N19/'Est gen ed 23 pos'!N$123</f>
        <v>1</v>
      </c>
      <c r="O19" s="34">
        <f>VLOOKUP($A19,'[1]Init $$'!$B$3:$CG$118,15,FALSE)</f>
        <v>8948.1</v>
      </c>
      <c r="P19" s="43">
        <f>'Est gen ed 23 $$'!P19/'Est gen ed 23 pos'!P$123</f>
        <v>1</v>
      </c>
      <c r="Q19" s="43">
        <f>'Est gen ed 23 $$'!Q19/'Est gen ed 23 pos'!Q$123</f>
        <v>1</v>
      </c>
      <c r="R19" s="43">
        <f>'Est gen ed 23 $$'!R19/'Est gen ed 23 pos'!R$123</f>
        <v>3.0000001953611113</v>
      </c>
      <c r="S19" s="43">
        <f>'Est gen ed 23 $$'!S19/'Est gen ed 23 pos'!S$123</f>
        <v>1</v>
      </c>
      <c r="T19" s="43">
        <f>'Est gen ed 23 $$'!T19/'Est gen ed 23 pos'!T$123</f>
        <v>0</v>
      </c>
      <c r="U19" s="43">
        <f>'Est gen ed 23 $$'!U19/'Est gen ed 23 pos'!U$123</f>
        <v>0</v>
      </c>
      <c r="V19" s="43">
        <f>'Est gen ed 23 $$'!V19/'Est gen ed 23 pos'!V$123</f>
        <v>0</v>
      </c>
      <c r="W19" s="43">
        <f>'Est gen ed 23 $$'!W19/'Est gen ed 23 pos'!W$123</f>
        <v>0</v>
      </c>
      <c r="X19" s="34">
        <f>VLOOKUP($A19,'[1]Init $$'!$B$3:$CG$118,24,FALSE)</f>
        <v>0</v>
      </c>
      <c r="Y19" s="34">
        <f>VLOOKUP($A19,'[1]Init $$'!$B$3:$CG$118,25,FALSE)</f>
        <v>0</v>
      </c>
      <c r="Z19" s="34">
        <f>VLOOKUP($A19,'[1]Init $$'!$B$3:$CG$118,26,FALSE)</f>
        <v>0</v>
      </c>
      <c r="AA19" s="34">
        <f>VLOOKUP($A19,'[1]Init $$'!$B$3:$CG$118,27,FALSE)</f>
        <v>0</v>
      </c>
      <c r="AB19" s="43">
        <f>'Est gen ed 23 $$'!AB19/'Est gen ed 23 pos'!AB$123</f>
        <v>0</v>
      </c>
      <c r="AC19" s="43">
        <f>'Est gen ed 23 $$'!AC19/'Est gen ed 23 pos'!AC$123</f>
        <v>0</v>
      </c>
      <c r="AD19" s="43">
        <f>'Est gen ed 23 $$'!AD19/'Est gen ed 23 pos'!AD$123</f>
        <v>0</v>
      </c>
      <c r="AE19" s="43">
        <f>'Est gen ed 23 $$'!AE19/'Est gen ed 23 pos'!AE$123</f>
        <v>0</v>
      </c>
      <c r="AF19" s="34">
        <f>VLOOKUP($A19,'[1]Init $$'!$B$3:$CG$118,32,FALSE)</f>
        <v>1965117</v>
      </c>
      <c r="AG19" s="34">
        <f>VLOOKUP($A19,'[1]Init $$'!$B$3:$CG$118,33,FALSE)</f>
        <v>112518</v>
      </c>
      <c r="AH19" s="43">
        <f>'Est gen ed 23 $$'!AH19/'Est gen ed 23 pos'!AH$123</f>
        <v>1</v>
      </c>
      <c r="AI19" s="43">
        <f>'Est gen ed 23 $$'!AI19/'Est gen ed 23 pos'!AI$123</f>
        <v>1.9999999121515879</v>
      </c>
      <c r="AJ19" s="43">
        <f>'Est gen ed 23 $$'!AJ19/'Est gen ed 23 pos'!AJ$123</f>
        <v>5.9999998243031758</v>
      </c>
      <c r="AK19" s="43">
        <f>'Est gen ed 23 $$'!AK19/'Est gen ed 23 pos'!AK$123</f>
        <v>3.9999998243031758</v>
      </c>
      <c r="AL19" s="43">
        <f>'Est gen ed 23 $$'!AL19/'Est gen ed 23 pos'!AL$123</f>
        <v>5.9999994893586166</v>
      </c>
      <c r="AM19" s="43">
        <f>'Est gen ed 23 $$'!AM19/'Est gen ed 23 pos'!AM$123</f>
        <v>0</v>
      </c>
      <c r="AN19" s="43">
        <f>'Est gen ed 23 $$'!AN19/'Est gen ed 23 pos'!AN$123</f>
        <v>0</v>
      </c>
      <c r="AO19" s="43">
        <f>'Est gen ed 23 $$'!AO19/'Est gen ed 23 pos'!AO$123</f>
        <v>0</v>
      </c>
      <c r="AP19" s="34">
        <f>VLOOKUP($A19,'[1]Init $$'!$B$3:$CG$118,42,FALSE)</f>
        <v>123641.1</v>
      </c>
      <c r="AQ19" s="34">
        <f>VLOOKUP($A19,'[1]Init $$'!$B$3:$CG$118,43,FALSE)</f>
        <v>0</v>
      </c>
      <c r="AR19" s="43">
        <f>'Est gen ed 23 $$'!AR19/'Est gen ed 23 pos'!AR$123</f>
        <v>2.4999999560757939</v>
      </c>
      <c r="AS19" s="43">
        <f>'Est gen ed 23 $$'!AS19/'Est gen ed 23 pos'!AS$123</f>
        <v>0</v>
      </c>
      <c r="AT19" s="43">
        <f>'Est gen ed 23 $$'!AT19/'Est gen ed 23 pos'!AT$123</f>
        <v>0</v>
      </c>
      <c r="AU19" s="34">
        <f>VLOOKUP($A19,'[1]Init $$'!$B$3:$CG$118,47,FALSE)</f>
        <v>80635.5</v>
      </c>
      <c r="AV19" s="34">
        <f>VLOOKUP($A19,'[1]Init $$'!$B$3:$CG$118,48,FALSE)</f>
        <v>0</v>
      </c>
      <c r="AW19" s="34">
        <f>VLOOKUP($A19,'[1]Init $$'!$B$3:$CG$118,49,FALSE)</f>
        <v>0</v>
      </c>
      <c r="AX19" s="34">
        <f>VLOOKUP($A19,'[1]Init $$'!$B$3:$CG$118,50,FALSE)</f>
        <v>0</v>
      </c>
      <c r="AY19" s="34">
        <f>VLOOKUP($A19,'[1]Init $$'!$B$3:$CG$118,51,FALSE)</f>
        <v>0</v>
      </c>
      <c r="AZ19" s="34">
        <f>VLOOKUP($A19,'[1]Init $$'!$B$3:$CG$118,52,FALSE)</f>
        <v>0</v>
      </c>
      <c r="BA19" s="34">
        <f>VLOOKUP($A19,'[1]Init $$'!$B$3:$CG$118,53,FALSE)</f>
        <v>0</v>
      </c>
      <c r="BB19" s="34">
        <f>VLOOKUP($A19,'[1]Init $$'!$B$3:$CG$118,54,FALSE)</f>
        <v>0</v>
      </c>
      <c r="BC19" s="34">
        <f>VLOOKUP($A19,'[1]Init $$'!$B$3:$CG$118,55,FALSE)</f>
        <v>147201.28</v>
      </c>
      <c r="BD19" s="34">
        <f>VLOOKUP($A19,'[1]Init $$'!$B$3:$CG$118,56,FALSE)</f>
        <v>2371.0500000000002</v>
      </c>
      <c r="BE19" s="34">
        <f>VLOOKUP($A19,'[1]Init $$'!$B$3:$CG$118,57,FALSE)</f>
        <v>0</v>
      </c>
      <c r="BF19" s="43">
        <f>'Est gen ed 23 $$'!BF19/'Est gen ed 23 pos'!BF$123</f>
        <v>0</v>
      </c>
      <c r="BG19" s="43">
        <f>'Est gen ed 23 $$'!BG19/'Est gen ed 23 pos'!BG$123</f>
        <v>0</v>
      </c>
      <c r="BH19" s="34">
        <f>VLOOKUP($A19,'[1]Init $$'!$B$3:$CG$118,60,FALSE)</f>
        <v>0</v>
      </c>
      <c r="BI19" s="34">
        <f>VLOOKUP($A19,'[1]Init $$'!$B$3:$CG$118,61,FALSE)</f>
        <v>0</v>
      </c>
      <c r="BJ19" s="34">
        <f>VLOOKUP($A19,'[1]Init $$'!$B$3:$CG$118,62,FALSE)</f>
        <v>0</v>
      </c>
      <c r="BK19" s="43">
        <f>'Est gen ed 23 $$'!BK19/'Est gen ed 23 pos'!BK$123</f>
        <v>0</v>
      </c>
      <c r="BL19" s="34">
        <f>VLOOKUP($A19,'[1]Init $$'!$B$3:$CG$118,64,FALSE)</f>
        <v>0</v>
      </c>
      <c r="BM19" s="43">
        <f>'Est gen ed 23 $$'!BM19/'Est gen ed 23 pos'!BM$123</f>
        <v>0</v>
      </c>
      <c r="BN19" s="34">
        <f>VLOOKUP($A19,'[1]Init $$'!$B$3:$CG$118,66,FALSE)</f>
        <v>0</v>
      </c>
      <c r="BO19" s="43">
        <f>'Est gen ed 23 $$'!BO19/'Est gen ed 23 pos'!BO$123</f>
        <v>0</v>
      </c>
      <c r="BP19" s="34">
        <f>VLOOKUP($A19,'[1]Init $$'!$B$3:$CG$118,68,FALSE)</f>
        <v>0</v>
      </c>
      <c r="BQ19" s="43">
        <f>'Est gen ed 23 $$'!BQ19/'Est gen ed 23 pos'!BQ$123</f>
        <v>0</v>
      </c>
      <c r="BR19" s="43">
        <f>'Est gen ed 23 $$'!BR19/'Est gen ed 23 pos'!BR$123</f>
        <v>0</v>
      </c>
      <c r="BS19" s="34">
        <f>VLOOKUP($A19,'[1]Init $$'!$B$3:$CG$118,71,FALSE)</f>
        <v>0</v>
      </c>
      <c r="BT19" s="34">
        <f>VLOOKUP($A19,'[1]Init $$'!$B$3:$CG$118,72,FALSE)</f>
        <v>0</v>
      </c>
      <c r="BU19" s="34">
        <f>VLOOKUP($A19,'[1]Init $$'!$B$3:$CG$118,73,FALSE)</f>
        <v>0</v>
      </c>
      <c r="BV19" s="34">
        <f>VLOOKUP($A19,'[1]Init $$'!$B$3:$CG$118,74,FALSE)</f>
        <v>200000</v>
      </c>
      <c r="BW19" s="34">
        <f>VLOOKUP($A19,'[1]Init $$'!$B$3:$CG$118,75,FALSE)</f>
        <v>55921</v>
      </c>
      <c r="BX19" s="43">
        <f>'Est gen ed 23 $$'!BX19/'Est gen ed 23 pos'!BX$123</f>
        <v>0</v>
      </c>
      <c r="BY19" s="43">
        <f>'Est gen ed 23 $$'!BY19/'Est gen ed 23 pos'!BY$123</f>
        <v>0</v>
      </c>
      <c r="BZ19" s="43">
        <f>'Est gen ed 23 $$'!BZ19/'Est gen ed 23 pos'!BZ$123</f>
        <v>0</v>
      </c>
      <c r="CA19" s="34">
        <f>VLOOKUP($A19,'[1]Init $$'!$B$3:$CG$118,79,FALSE)</f>
        <v>480168.22</v>
      </c>
      <c r="CB19" s="34">
        <f>VLOOKUP($A19,'[1]Init $$'!$B$3:$CG$118,80,FALSE)</f>
        <v>56624.04</v>
      </c>
      <c r="CC19" s="34">
        <f>VLOOKUP($A19,'[1]Init $$'!$B$3:$CG$118,81,FALSE)</f>
        <v>0</v>
      </c>
      <c r="CD19" s="34">
        <f>VLOOKUP($A19,'[1]Init $$'!$B$3:$CG$118,82,FALSE)</f>
        <v>0</v>
      </c>
      <c r="CE19" s="34">
        <f>VLOOKUP($A19,'[1]Init $$'!$B$3:$CG$118,83,FALSE)</f>
        <v>0</v>
      </c>
      <c r="CF19" s="34">
        <f>VLOOKUP($A19,'[1]Init $$'!$B$3:$CG$118,84,FALSE)</f>
        <v>0</v>
      </c>
      <c r="CJ19" s="28">
        <f t="shared" si="2"/>
        <v>3233175.789999201</v>
      </c>
      <c r="CK19" s="43">
        <f>'Est gen ed 23 $$'!CK19/'Est gen ed 23 pos'!CK$123</f>
        <v>0.99999604682144683</v>
      </c>
      <c r="CL19" s="43">
        <f>'Est gen ed 23 $$'!CL19/'Est gen ed 23 pos'!CL$123</f>
        <v>1.0966666666666667</v>
      </c>
      <c r="CM19" s="43">
        <f>'Est gen ed 23 $$'!CM19/'Est gen ed 23 pos'!CM$123</f>
        <v>1</v>
      </c>
      <c r="CN19" s="43">
        <f>'Est gen ed 23 $$'!CN19/'Est gen ed 23 pos'!CN$123</f>
        <v>0</v>
      </c>
      <c r="CO19" s="43">
        <f>'Est gen ed 23 $$'!CO19/'Est gen ed 23 pos'!CO$123</f>
        <v>0</v>
      </c>
      <c r="CP19" s="43">
        <f>'Est gen ed 23 $$'!CP19/'Est gen ed 23 pos'!CP$123</f>
        <v>0</v>
      </c>
      <c r="CQ19" s="43">
        <f>'Est gen ed 23 $$'!CQ19/'Est gen ed 23 pos'!CQ$123</f>
        <v>0</v>
      </c>
      <c r="CR19" s="43">
        <f>'Est gen ed 23 $$'!CR19/'Est gen ed 23 pos'!CR$123</f>
        <v>0</v>
      </c>
      <c r="CS19" s="43">
        <f>'Est gen ed 23 $$'!CS19/'Est gen ed 23 pos'!CS$123</f>
        <v>0</v>
      </c>
      <c r="CT19" s="43">
        <f>'Est gen ed 23 $$'!CT19/'Est gen ed 23 pos'!CT$123</f>
        <v>0</v>
      </c>
      <c r="CU19" s="43">
        <f>'Est gen ed 23 $$'!CU19/'Est gen ed 23 pos'!CU$123</f>
        <v>18</v>
      </c>
      <c r="CZ19" s="43">
        <f>'Est gen ed 23 $$'!CW19/'Est gen ed 23 pos'!CZ$123</f>
        <v>0</v>
      </c>
      <c r="DB19" s="28">
        <f t="shared" si="3"/>
        <v>2165117</v>
      </c>
      <c r="DC19" s="28">
        <f t="shared" si="0"/>
        <v>0</v>
      </c>
      <c r="DK19" s="34"/>
      <c r="DL19" s="34"/>
    </row>
    <row r="20" spans="1:116" x14ac:dyDescent="0.2">
      <c r="A20">
        <v>404</v>
      </c>
      <c r="B20" t="s">
        <v>110</v>
      </c>
      <c r="C20" t="s">
        <v>4</v>
      </c>
      <c r="D20">
        <v>5</v>
      </c>
      <c r="E20">
        <f>VLOOKUP($A20,'[1]Init $$'!$B$3:$CG$118,4,FALSE)</f>
        <v>413</v>
      </c>
      <c r="F20">
        <f>VLOOKUP($A20,'[1]Init $$'!$B$3:$CG$118,6,FALSE)</f>
        <v>348</v>
      </c>
      <c r="G20">
        <f>VLOOKUP($A20,'[2]$$xSchpostCouncilxLevel'!$A$4:$EW$120,153,FALSE)</f>
        <v>369</v>
      </c>
      <c r="H20" s="50">
        <f t="shared" si="1"/>
        <v>-21</v>
      </c>
      <c r="I20" s="4">
        <f>VLOOKUP($A20,'[1]Init $$'!$B$3:$CG$118,8,FALSE)</f>
        <v>0.65133171912832932</v>
      </c>
      <c r="J20">
        <f>VLOOKUP($A20,'[1]Init $$'!$B$3:$CG$118,7,FALSE)</f>
        <v>269</v>
      </c>
      <c r="K20" s="43">
        <f>'Est gen ed 23 $$'!K20/'Est gen ed 23 pos'!K$123</f>
        <v>1</v>
      </c>
      <c r="L20" s="43">
        <f>'Est gen ed 23 $$'!L20/'Est gen ed 23 pos'!L$123</f>
        <v>0.49999995607579389</v>
      </c>
      <c r="M20" s="43">
        <f>'Est gen ed 23 $$'!M20/'Est gen ed 23 pos'!M$123</f>
        <v>0</v>
      </c>
      <c r="N20" s="43">
        <f>'Est gen ed 23 $$'!N20/'Est gen ed 23 pos'!N$123</f>
        <v>1</v>
      </c>
      <c r="O20" s="34">
        <f>VLOOKUP($A20,'[1]Init $$'!$B$3:$CG$118,15,FALSE)</f>
        <v>13760.4</v>
      </c>
      <c r="P20" s="43">
        <f>'Est gen ed 23 $$'!P20/'Est gen ed 23 pos'!P$123</f>
        <v>1</v>
      </c>
      <c r="Q20" s="43">
        <f>'Est gen ed 23 $$'!Q20/'Est gen ed 23 pos'!Q$123</f>
        <v>1</v>
      </c>
      <c r="R20" s="43">
        <f>'Est gen ed 23 $$'!R20/'Est gen ed 23 pos'!R$123</f>
        <v>5.0000003907222226</v>
      </c>
      <c r="S20" s="43">
        <f>'Est gen ed 23 $$'!S20/'Est gen ed 23 pos'!S$123</f>
        <v>1</v>
      </c>
      <c r="T20" s="43">
        <f>'Est gen ed 23 $$'!T20/'Est gen ed 23 pos'!T$123</f>
        <v>0</v>
      </c>
      <c r="U20" s="43">
        <f>'Est gen ed 23 $$'!U20/'Est gen ed 23 pos'!U$123</f>
        <v>1.9999999121515879</v>
      </c>
      <c r="V20" s="43">
        <f>'Est gen ed 23 $$'!V20/'Est gen ed 23 pos'!V$123</f>
        <v>1.9999999121515879</v>
      </c>
      <c r="W20" s="43">
        <f>'Est gen ed 23 $$'!W20/'Est gen ed 23 pos'!W$123</f>
        <v>3.9999997446793079</v>
      </c>
      <c r="X20" s="34">
        <f>VLOOKUP($A20,'[1]Init $$'!$B$3:$CG$118,24,FALSE)</f>
        <v>116473.5</v>
      </c>
      <c r="Y20" s="34">
        <f>VLOOKUP($A20,'[1]Init $$'!$B$3:$CG$118,25,FALSE)</f>
        <v>0</v>
      </c>
      <c r="Z20" s="34">
        <f>VLOOKUP($A20,'[1]Init $$'!$B$3:$CG$118,26,FALSE)</f>
        <v>0</v>
      </c>
      <c r="AA20" s="34">
        <f>VLOOKUP($A20,'[1]Init $$'!$B$3:$CG$118,27,FALSE)</f>
        <v>519651</v>
      </c>
      <c r="AB20" s="43">
        <f>'Est gen ed 23 $$'!AB20/'Est gen ed 23 pos'!AB$123</f>
        <v>0</v>
      </c>
      <c r="AC20" s="43">
        <f>'Est gen ed 23 $$'!AC20/'Est gen ed 23 pos'!AC$123</f>
        <v>0</v>
      </c>
      <c r="AD20" s="43">
        <f>'Est gen ed 23 $$'!AD20/'Est gen ed 23 pos'!AD$123</f>
        <v>0</v>
      </c>
      <c r="AE20" s="43">
        <f>'Est gen ed 23 $$'!AE20/'Est gen ed 23 pos'!AE$123</f>
        <v>0</v>
      </c>
      <c r="AF20" s="34">
        <f>VLOOKUP($A20,'[1]Init $$'!$B$3:$CG$118,32,FALSE)</f>
        <v>2078604</v>
      </c>
      <c r="AG20" s="34">
        <f>VLOOKUP($A20,'[1]Init $$'!$B$3:$CG$118,33,FALSE)</f>
        <v>136290</v>
      </c>
      <c r="AH20" s="43">
        <f>'Est gen ed 23 $$'!AH20/'Est gen ed 23 pos'!AH$123</f>
        <v>1</v>
      </c>
      <c r="AI20" s="43">
        <f>'Est gen ed 23 $$'!AI20/'Est gen ed 23 pos'!AI$123</f>
        <v>1.9999999121515879</v>
      </c>
      <c r="AJ20" s="43">
        <f>'Est gen ed 23 $$'!AJ20/'Est gen ed 23 pos'!AJ$123</f>
        <v>5.9999998243031758</v>
      </c>
      <c r="AK20" s="43">
        <f>'Est gen ed 23 $$'!AK20/'Est gen ed 23 pos'!AK$123</f>
        <v>2.9999999121515879</v>
      </c>
      <c r="AL20" s="43">
        <f>'Est gen ed 23 $$'!AL20/'Est gen ed 23 pos'!AL$123</f>
        <v>5.9999994893586166</v>
      </c>
      <c r="AM20" s="43">
        <f>'Est gen ed 23 $$'!AM20/'Est gen ed 23 pos'!AM$123</f>
        <v>0</v>
      </c>
      <c r="AN20" s="43">
        <f>'Est gen ed 23 $$'!AN20/'Est gen ed 23 pos'!AN$123</f>
        <v>0</v>
      </c>
      <c r="AO20" s="43">
        <f>'Est gen ed 23 $$'!AO20/'Est gen ed 23 pos'!AO$123</f>
        <v>0</v>
      </c>
      <c r="AP20" s="34">
        <f>VLOOKUP($A20,'[1]Init $$'!$B$3:$CG$118,42,FALSE)</f>
        <v>134392.5</v>
      </c>
      <c r="AQ20" s="34">
        <f>VLOOKUP($A20,'[1]Init $$'!$B$3:$CG$118,43,FALSE)</f>
        <v>0</v>
      </c>
      <c r="AR20" s="43">
        <f>'Est gen ed 23 $$'!AR20/'Est gen ed 23 pos'!AR$123</f>
        <v>4.9999998243031758</v>
      </c>
      <c r="AS20" s="43">
        <f>'Est gen ed 23 $$'!AS20/'Est gen ed 23 pos'!AS$123</f>
        <v>0</v>
      </c>
      <c r="AT20" s="43">
        <f>'Est gen ed 23 $$'!AT20/'Est gen ed 23 pos'!AT$123</f>
        <v>0</v>
      </c>
      <c r="AU20" s="34">
        <f>VLOOKUP($A20,'[1]Init $$'!$B$3:$CG$118,47,FALSE)</f>
        <v>179190</v>
      </c>
      <c r="AV20" s="34">
        <f>VLOOKUP($A20,'[1]Init $$'!$B$3:$CG$118,48,FALSE)</f>
        <v>13600</v>
      </c>
      <c r="AW20" s="34">
        <f>VLOOKUP($A20,'[1]Init $$'!$B$3:$CG$118,49,FALSE)</f>
        <v>13600</v>
      </c>
      <c r="AX20" s="34">
        <f>VLOOKUP($A20,'[1]Init $$'!$B$3:$CG$118,50,FALSE)</f>
        <v>10200</v>
      </c>
      <c r="AY20" s="34">
        <f>VLOOKUP($A20,'[1]Init $$'!$B$3:$CG$118,51,FALSE)</f>
        <v>0</v>
      </c>
      <c r="AZ20" s="34">
        <f>VLOOKUP($A20,'[1]Init $$'!$B$3:$CG$118,52,FALSE)</f>
        <v>13600</v>
      </c>
      <c r="BA20" s="34">
        <f>VLOOKUP($A20,'[1]Init $$'!$B$3:$CG$118,53,FALSE)</f>
        <v>0</v>
      </c>
      <c r="BB20" s="34">
        <f>VLOOKUP($A20,'[1]Init $$'!$B$3:$CG$118,54,FALSE)</f>
        <v>13600</v>
      </c>
      <c r="BC20" s="34">
        <f>VLOOKUP($A20,'[1]Init $$'!$B$3:$CG$118,55,FALSE)</f>
        <v>223507.83</v>
      </c>
      <c r="BD20" s="34">
        <f>VLOOKUP($A20,'[1]Init $$'!$B$3:$CG$118,56,FALSE)</f>
        <v>3600.16</v>
      </c>
      <c r="BE20" s="34">
        <f>VLOOKUP($A20,'[1]Init $$'!$B$3:$CG$118,57,FALSE)</f>
        <v>0</v>
      </c>
      <c r="BF20" s="43">
        <f>'Est gen ed 23 $$'!BF20/'Est gen ed 23 pos'!BF$123</f>
        <v>0</v>
      </c>
      <c r="BG20" s="43">
        <f>'Est gen ed 23 $$'!BG20/'Est gen ed 23 pos'!BG$123</f>
        <v>0</v>
      </c>
      <c r="BH20" s="34">
        <f>VLOOKUP($A20,'[1]Init $$'!$B$3:$CG$118,60,FALSE)</f>
        <v>0</v>
      </c>
      <c r="BI20" s="34">
        <f>VLOOKUP($A20,'[1]Init $$'!$B$3:$CG$118,61,FALSE)</f>
        <v>0</v>
      </c>
      <c r="BJ20" s="34">
        <f>VLOOKUP($A20,'[1]Init $$'!$B$3:$CG$118,62,FALSE)</f>
        <v>0</v>
      </c>
      <c r="BK20" s="43">
        <f>'Est gen ed 23 $$'!BK20/'Est gen ed 23 pos'!BK$123</f>
        <v>0</v>
      </c>
      <c r="BL20" s="34">
        <f>VLOOKUP($A20,'[1]Init $$'!$B$3:$CG$118,64,FALSE)</f>
        <v>0</v>
      </c>
      <c r="BM20" s="43">
        <f>'Est gen ed 23 $$'!BM20/'Est gen ed 23 pos'!BM$123</f>
        <v>0</v>
      </c>
      <c r="BN20" s="34">
        <f>VLOOKUP($A20,'[1]Init $$'!$B$3:$CG$118,66,FALSE)</f>
        <v>0</v>
      </c>
      <c r="BO20" s="43">
        <f>'Est gen ed 23 $$'!BO20/'Est gen ed 23 pos'!BO$123</f>
        <v>0</v>
      </c>
      <c r="BP20" s="34">
        <f>VLOOKUP($A20,'[1]Init $$'!$B$3:$CG$118,68,FALSE)</f>
        <v>0</v>
      </c>
      <c r="BQ20" s="43">
        <f>'Est gen ed 23 $$'!BQ20/'Est gen ed 23 pos'!BQ$123</f>
        <v>0</v>
      </c>
      <c r="BR20" s="43">
        <f>'Est gen ed 23 $$'!BR20/'Est gen ed 23 pos'!BR$123</f>
        <v>0</v>
      </c>
      <c r="BS20" s="34">
        <f>VLOOKUP($A20,'[1]Init $$'!$B$3:$CG$118,71,FALSE)</f>
        <v>0</v>
      </c>
      <c r="BT20" s="34">
        <f>VLOOKUP($A20,'[1]Init $$'!$B$3:$CG$118,72,FALSE)</f>
        <v>0</v>
      </c>
      <c r="BU20" s="34">
        <f>VLOOKUP($A20,'[1]Init $$'!$B$3:$CG$118,73,FALSE)</f>
        <v>15325</v>
      </c>
      <c r="BV20" s="34">
        <f>VLOOKUP($A20,'[1]Init $$'!$B$3:$CG$118,74,FALSE)</f>
        <v>0</v>
      </c>
      <c r="BW20" s="34">
        <f>VLOOKUP($A20,'[1]Init $$'!$B$3:$CG$118,75,FALSE)</f>
        <v>0</v>
      </c>
      <c r="BX20" s="43">
        <f>'Est gen ed 23 $$'!BX20/'Est gen ed 23 pos'!BX$123</f>
        <v>0</v>
      </c>
      <c r="BY20" s="43">
        <f>'Est gen ed 23 $$'!BY20/'Est gen ed 23 pos'!BY$123</f>
        <v>0</v>
      </c>
      <c r="BZ20" s="43">
        <f>'Est gen ed 23 $$'!BZ20/'Est gen ed 23 pos'!BZ$123</f>
        <v>0</v>
      </c>
      <c r="CA20" s="34">
        <f>VLOOKUP($A20,'[1]Init $$'!$B$3:$CG$118,79,FALSE)</f>
        <v>721593.58</v>
      </c>
      <c r="CB20" s="34">
        <f>VLOOKUP($A20,'[1]Init $$'!$B$3:$CG$118,80,FALSE)</f>
        <v>123999.48</v>
      </c>
      <c r="CC20" s="34">
        <f>VLOOKUP($A20,'[1]Init $$'!$B$3:$CG$118,81,FALSE)</f>
        <v>0</v>
      </c>
      <c r="CD20" s="34">
        <f>VLOOKUP($A20,'[1]Init $$'!$B$3:$CG$118,82,FALSE)</f>
        <v>42721.51</v>
      </c>
      <c r="CE20" s="34">
        <f>VLOOKUP($A20,'[1]Init $$'!$B$3:$CG$118,83,FALSE)</f>
        <v>0</v>
      </c>
      <c r="CF20" s="34">
        <f>VLOOKUP($A20,'[1]Init $$'!$B$3:$CG$118,84,FALSE)</f>
        <v>0</v>
      </c>
      <c r="CJ20" s="28">
        <f t="shared" si="2"/>
        <v>4373750.4599988777</v>
      </c>
      <c r="CK20" s="43">
        <f>'Est gen ed 23 $$'!CK20/'Est gen ed 23 pos'!CK$123</f>
        <v>0.99999604682144683</v>
      </c>
      <c r="CL20" s="43">
        <f>'Est gen ed 23 $$'!CL20/'Est gen ed 23 pos'!CL$123</f>
        <v>1.0325</v>
      </c>
      <c r="CM20" s="43">
        <f>'Est gen ed 23 $$'!CM20/'Est gen ed 23 pos'!CM$123</f>
        <v>1</v>
      </c>
      <c r="CN20" s="43">
        <f>'Est gen ed 23 $$'!CN20/'Est gen ed 23 pos'!CN$123</f>
        <v>0.96852300242130751</v>
      </c>
      <c r="CO20" s="43">
        <f>'Est gen ed 23 $$'!CO20/'Est gen ed 23 pos'!CO$123</f>
        <v>0</v>
      </c>
      <c r="CP20" s="43">
        <f>'Est gen ed 23 $$'!CP20/'Est gen ed 23 pos'!CP$123</f>
        <v>0</v>
      </c>
      <c r="CQ20" s="43">
        <f>'Est gen ed 23 $$'!CQ20/'Est gen ed 23 pos'!CQ$123</f>
        <v>0.99999604682144683</v>
      </c>
      <c r="CR20" s="43">
        <f>'Est gen ed 23 $$'!CR20/'Est gen ed 23 pos'!CR$123</f>
        <v>0.99999604682144683</v>
      </c>
      <c r="CS20" s="43">
        <f>'Est gen ed 23 $$'!CS20/'Est gen ed 23 pos'!CS$123</f>
        <v>1</v>
      </c>
      <c r="CT20" s="43">
        <f>'Est gen ed 23 $$'!CT20/'Est gen ed 23 pos'!CT$123</f>
        <v>2</v>
      </c>
      <c r="CU20" s="43">
        <f>'Est gen ed 23 $$'!CU20/'Est gen ed 23 pos'!CU$123</f>
        <v>20</v>
      </c>
      <c r="CZ20" s="43">
        <f>'Est gen ed 23 $$'!CW20/'Est gen ed 23 pos'!CZ$123</f>
        <v>0</v>
      </c>
      <c r="DB20" s="28">
        <f t="shared" si="3"/>
        <v>2598255</v>
      </c>
      <c r="DC20" s="28">
        <f t="shared" si="0"/>
        <v>42721.51</v>
      </c>
      <c r="DK20" s="34"/>
      <c r="DL20" s="34"/>
    </row>
    <row r="21" spans="1:116" x14ac:dyDescent="0.2">
      <c r="A21">
        <v>296</v>
      </c>
      <c r="B21" t="s">
        <v>109</v>
      </c>
      <c r="C21" t="s">
        <v>7</v>
      </c>
      <c r="D21">
        <v>1</v>
      </c>
      <c r="E21">
        <f>VLOOKUP($A21,'[1]Init $$'!$B$3:$CG$118,4,FALSE)</f>
        <v>421</v>
      </c>
      <c r="F21">
        <f>VLOOKUP($A21,'[1]Init $$'!$B$3:$CG$118,6,FALSE)</f>
        <v>328</v>
      </c>
      <c r="G21">
        <f>VLOOKUP($A21,'[2]$$xSchpostCouncilxLevel'!$A$4:$EW$120,153,FALSE)</f>
        <v>387</v>
      </c>
      <c r="H21" s="50">
        <f t="shared" si="1"/>
        <v>-59</v>
      </c>
      <c r="I21" s="4">
        <f>VLOOKUP($A21,'[1]Init $$'!$B$3:$CG$118,8,FALSE)</f>
        <v>0.33254156769596199</v>
      </c>
      <c r="J21">
        <f>VLOOKUP($A21,'[1]Init $$'!$B$3:$CG$118,7,FALSE)</f>
        <v>140</v>
      </c>
      <c r="K21" s="43">
        <f>'Est gen ed 23 $$'!K21/'Est gen ed 23 pos'!K$123</f>
        <v>1</v>
      </c>
      <c r="L21" s="43">
        <f>'Est gen ed 23 $$'!L21/'Est gen ed 23 pos'!L$123</f>
        <v>0</v>
      </c>
      <c r="M21" s="43">
        <f>'Est gen ed 23 $$'!M21/'Est gen ed 23 pos'!M$123</f>
        <v>0</v>
      </c>
      <c r="N21" s="43">
        <f>'Est gen ed 23 $$'!N21/'Est gen ed 23 pos'!N$123</f>
        <v>1</v>
      </c>
      <c r="O21" s="34">
        <f>VLOOKUP($A21,'[1]Init $$'!$B$3:$CG$118,15,FALSE)</f>
        <v>7194.25</v>
      </c>
      <c r="P21" s="43">
        <f>'Est gen ed 23 $$'!P21/'Est gen ed 23 pos'!P$123</f>
        <v>1</v>
      </c>
      <c r="Q21" s="43">
        <f>'Est gen ed 23 $$'!Q21/'Est gen ed 23 pos'!Q$123</f>
        <v>1</v>
      </c>
      <c r="R21" s="43">
        <f>'Est gen ed 23 $$'!R21/'Est gen ed 23 pos'!R$123</f>
        <v>2.0000001953611113</v>
      </c>
      <c r="S21" s="43">
        <f>'Est gen ed 23 $$'!S21/'Est gen ed 23 pos'!S$123</f>
        <v>1</v>
      </c>
      <c r="T21" s="43">
        <f>'Est gen ed 23 $$'!T21/'Est gen ed 23 pos'!T$123</f>
        <v>0</v>
      </c>
      <c r="U21" s="43">
        <f>'Est gen ed 23 $$'!U21/'Est gen ed 23 pos'!U$123</f>
        <v>5.9999998243031758</v>
      </c>
      <c r="V21" s="43">
        <f>'Est gen ed 23 $$'!V21/'Est gen ed 23 pos'!V$123</f>
        <v>0</v>
      </c>
      <c r="W21" s="43">
        <f>'Est gen ed 23 $$'!W21/'Est gen ed 23 pos'!W$123</f>
        <v>5.9999994893586166</v>
      </c>
      <c r="X21" s="34">
        <f>VLOOKUP($A21,'[1]Init $$'!$B$3:$CG$118,24,FALSE)</f>
        <v>166646.70000000001</v>
      </c>
      <c r="Y21" s="34">
        <f>VLOOKUP($A21,'[1]Init $$'!$B$3:$CG$118,25,FALSE)</f>
        <v>0</v>
      </c>
      <c r="Z21" s="34">
        <f>VLOOKUP($A21,'[1]Init $$'!$B$3:$CG$118,26,FALSE)</f>
        <v>0</v>
      </c>
      <c r="AA21" s="34">
        <f>VLOOKUP($A21,'[1]Init $$'!$B$3:$CG$118,27,FALSE)</f>
        <v>0</v>
      </c>
      <c r="AB21" s="43">
        <f>'Est gen ed 23 $$'!AB21/'Est gen ed 23 pos'!AB$123</f>
        <v>0</v>
      </c>
      <c r="AC21" s="43">
        <f>'Est gen ed 23 $$'!AC21/'Est gen ed 23 pos'!AC$123</f>
        <v>0</v>
      </c>
      <c r="AD21" s="43">
        <f>'Est gen ed 23 $$'!AD21/'Est gen ed 23 pos'!AD$123</f>
        <v>0</v>
      </c>
      <c r="AE21" s="43">
        <f>'Est gen ed 23 $$'!AE21/'Est gen ed 23 pos'!AE$123</f>
        <v>0</v>
      </c>
      <c r="AF21" s="34">
        <f>VLOOKUP($A21,'[1]Init $$'!$B$3:$CG$118,32,FALSE)</f>
        <v>1959144</v>
      </c>
      <c r="AG21" s="34">
        <f>VLOOKUP($A21,'[1]Init $$'!$B$3:$CG$118,33,FALSE)</f>
        <v>136825</v>
      </c>
      <c r="AH21" s="43">
        <f>'Est gen ed 23 $$'!AH21/'Est gen ed 23 pos'!AH$123</f>
        <v>1</v>
      </c>
      <c r="AI21" s="43">
        <f>'Est gen ed 23 $$'!AI21/'Est gen ed 23 pos'!AI$123</f>
        <v>1.9999999121515879</v>
      </c>
      <c r="AJ21" s="43">
        <f>'Est gen ed 23 $$'!AJ21/'Est gen ed 23 pos'!AJ$123</f>
        <v>2.9999999121515879</v>
      </c>
      <c r="AK21" s="43">
        <f>'Est gen ed 23 $$'!AK21/'Est gen ed 23 pos'!AK$123</f>
        <v>0</v>
      </c>
      <c r="AL21" s="43">
        <f>'Est gen ed 23 $$'!AL21/'Est gen ed 23 pos'!AL$123</f>
        <v>0</v>
      </c>
      <c r="AM21" s="43">
        <f>'Est gen ed 23 $$'!AM21/'Est gen ed 23 pos'!AM$123</f>
        <v>0</v>
      </c>
      <c r="AN21" s="43">
        <f>'Est gen ed 23 $$'!AN21/'Est gen ed 23 pos'!AN$123</f>
        <v>0</v>
      </c>
      <c r="AO21" s="43">
        <f>'Est gen ed 23 $$'!AO21/'Est gen ed 23 pos'!AO$123</f>
        <v>0</v>
      </c>
      <c r="AP21" s="34">
        <f>VLOOKUP($A21,'[1]Init $$'!$B$3:$CG$118,42,FALSE)</f>
        <v>80635.5</v>
      </c>
      <c r="AQ21" s="34">
        <f>VLOOKUP($A21,'[1]Init $$'!$B$3:$CG$118,43,FALSE)</f>
        <v>0</v>
      </c>
      <c r="AR21" s="43">
        <f>'Est gen ed 23 $$'!AR21/'Est gen ed 23 pos'!AR$123</f>
        <v>13.499999516833732</v>
      </c>
      <c r="AS21" s="43">
        <f>'Est gen ed 23 $$'!AS21/'Est gen ed 23 pos'!AS$123</f>
        <v>0</v>
      </c>
      <c r="AT21" s="43">
        <f>'Est gen ed 23 $$'!AT21/'Est gen ed 23 pos'!AT$123</f>
        <v>0</v>
      </c>
      <c r="AU21" s="34">
        <f>VLOOKUP($A21,'[1]Init $$'!$B$3:$CG$118,47,FALSE)</f>
        <v>519651</v>
      </c>
      <c r="AV21" s="34">
        <f>VLOOKUP($A21,'[1]Init $$'!$B$3:$CG$118,48,FALSE)</f>
        <v>0</v>
      </c>
      <c r="AW21" s="34">
        <f>VLOOKUP($A21,'[1]Init $$'!$B$3:$CG$118,49,FALSE)</f>
        <v>0</v>
      </c>
      <c r="AX21" s="34">
        <f>VLOOKUP($A21,'[1]Init $$'!$B$3:$CG$118,50,FALSE)</f>
        <v>0</v>
      </c>
      <c r="AY21" s="34">
        <f>VLOOKUP($A21,'[1]Init $$'!$B$3:$CG$118,51,FALSE)</f>
        <v>0</v>
      </c>
      <c r="AZ21" s="34">
        <f>VLOOKUP($A21,'[1]Init $$'!$B$3:$CG$118,52,FALSE)</f>
        <v>0</v>
      </c>
      <c r="BA21" s="34">
        <f>VLOOKUP($A21,'[1]Init $$'!$B$3:$CG$118,53,FALSE)</f>
        <v>0</v>
      </c>
      <c r="BB21" s="34">
        <f>VLOOKUP($A21,'[1]Init $$'!$B$3:$CG$118,54,FALSE)</f>
        <v>0</v>
      </c>
      <c r="BC21" s="34">
        <f>VLOOKUP($A21,'[1]Init $$'!$B$3:$CG$118,55,FALSE)</f>
        <v>91784.33</v>
      </c>
      <c r="BD21" s="34">
        <f>VLOOKUP($A21,'[1]Init $$'!$B$3:$CG$118,56,FALSE)</f>
        <v>1478.42</v>
      </c>
      <c r="BE21" s="34">
        <f>VLOOKUP($A21,'[1]Init $$'!$B$3:$CG$118,57,FALSE)</f>
        <v>0</v>
      </c>
      <c r="BF21" s="43">
        <f>'Est gen ed 23 $$'!BF21/'Est gen ed 23 pos'!BF$123</f>
        <v>0</v>
      </c>
      <c r="BG21" s="43">
        <f>'Est gen ed 23 $$'!BG21/'Est gen ed 23 pos'!BG$123</f>
        <v>0</v>
      </c>
      <c r="BH21" s="34">
        <f>VLOOKUP($A21,'[1]Init $$'!$B$3:$CG$118,60,FALSE)</f>
        <v>0</v>
      </c>
      <c r="BI21" s="34">
        <f>VLOOKUP($A21,'[1]Init $$'!$B$3:$CG$118,61,FALSE)</f>
        <v>0</v>
      </c>
      <c r="BJ21" s="34">
        <f>VLOOKUP($A21,'[1]Init $$'!$B$3:$CG$118,62,FALSE)</f>
        <v>0</v>
      </c>
      <c r="BK21" s="43">
        <f>'Est gen ed 23 $$'!BK21/'Est gen ed 23 pos'!BK$123</f>
        <v>0</v>
      </c>
      <c r="BL21" s="34">
        <f>VLOOKUP($A21,'[1]Init $$'!$B$3:$CG$118,64,FALSE)</f>
        <v>0</v>
      </c>
      <c r="BM21" s="43">
        <f>'Est gen ed 23 $$'!BM21/'Est gen ed 23 pos'!BM$123</f>
        <v>0</v>
      </c>
      <c r="BN21" s="34">
        <f>VLOOKUP($A21,'[1]Init $$'!$B$3:$CG$118,66,FALSE)</f>
        <v>0</v>
      </c>
      <c r="BO21" s="43">
        <f>'Est gen ed 23 $$'!BO21/'Est gen ed 23 pos'!BO$123</f>
        <v>0</v>
      </c>
      <c r="BP21" s="34">
        <f>VLOOKUP($A21,'[1]Init $$'!$B$3:$CG$118,68,FALSE)</f>
        <v>70200</v>
      </c>
      <c r="BQ21" s="43">
        <f>'Est gen ed 23 $$'!BQ21/'Est gen ed 23 pos'!BQ$123</f>
        <v>0</v>
      </c>
      <c r="BR21" s="43">
        <f>'Est gen ed 23 $$'!BR21/'Est gen ed 23 pos'!BR$123</f>
        <v>0</v>
      </c>
      <c r="BS21" s="34">
        <f>VLOOKUP($A21,'[1]Init $$'!$B$3:$CG$118,71,FALSE)</f>
        <v>0</v>
      </c>
      <c r="BT21" s="34">
        <f>VLOOKUP($A21,'[1]Init $$'!$B$3:$CG$118,72,FALSE)</f>
        <v>0</v>
      </c>
      <c r="BU21" s="34">
        <f>VLOOKUP($A21,'[1]Init $$'!$B$3:$CG$118,73,FALSE)</f>
        <v>0</v>
      </c>
      <c r="BV21" s="34">
        <f>VLOOKUP($A21,'[1]Init $$'!$B$3:$CG$118,74,FALSE)</f>
        <v>0</v>
      </c>
      <c r="BW21" s="34">
        <f>VLOOKUP($A21,'[1]Init $$'!$B$3:$CG$118,75,FALSE)</f>
        <v>0</v>
      </c>
      <c r="BX21" s="43">
        <f>'Est gen ed 23 $$'!BX21/'Est gen ed 23 pos'!BX$123</f>
        <v>0</v>
      </c>
      <c r="BY21" s="43">
        <f>'Est gen ed 23 $$'!BY21/'Est gen ed 23 pos'!BY$123</f>
        <v>0</v>
      </c>
      <c r="BZ21" s="43">
        <f>'Est gen ed 23 $$'!BZ21/'Est gen ed 23 pos'!BZ$123</f>
        <v>0</v>
      </c>
      <c r="CA21" s="34">
        <f>VLOOKUP($A21,'[1]Init $$'!$B$3:$CG$118,79,FALSE)</f>
        <v>375550.56</v>
      </c>
      <c r="CB21" s="34">
        <f>VLOOKUP($A21,'[1]Init $$'!$B$3:$CG$118,80,FALSE)</f>
        <v>0</v>
      </c>
      <c r="CC21" s="34">
        <f>VLOOKUP($A21,'[1]Init $$'!$B$3:$CG$118,81,FALSE)</f>
        <v>395435.26</v>
      </c>
      <c r="CD21" s="34">
        <f>VLOOKUP($A21,'[1]Init $$'!$B$3:$CG$118,82,FALSE)</f>
        <v>0</v>
      </c>
      <c r="CE21" s="34">
        <f>VLOOKUP($A21,'[1]Init $$'!$B$3:$CG$118,83,FALSE)</f>
        <v>0</v>
      </c>
      <c r="CF21" s="34">
        <f>VLOOKUP($A21,'[1]Init $$'!$B$3:$CG$118,84,FALSE)</f>
        <v>340240.68</v>
      </c>
      <c r="CJ21" s="28">
        <f t="shared" si="2"/>
        <v>4144824.1999988495</v>
      </c>
      <c r="CK21" s="43">
        <f>'Est gen ed 23 $$'!CK21/'Est gen ed 23 pos'!CK$123</f>
        <v>0.99999604682144683</v>
      </c>
      <c r="CL21" s="43">
        <f>'Est gen ed 23 $$'!CL21/'Est gen ed 23 pos'!CL$123</f>
        <v>1.0525</v>
      </c>
      <c r="CM21" s="43">
        <f>'Est gen ed 23 $$'!CM21/'Est gen ed 23 pos'!CM$123</f>
        <v>1</v>
      </c>
      <c r="CN21" s="43">
        <f>'Est gen ed 23 $$'!CN21/'Est gen ed 23 pos'!CN$123</f>
        <v>0.95011876484560565</v>
      </c>
      <c r="CO21" s="43">
        <f>'Est gen ed 23 $$'!CO21/'Est gen ed 23 pos'!CO$123</f>
        <v>0</v>
      </c>
      <c r="CP21" s="43">
        <f>'Est gen ed 23 $$'!CP21/'Est gen ed 23 pos'!CP$123</f>
        <v>0</v>
      </c>
      <c r="CQ21" s="43">
        <f>'Est gen ed 23 $$'!CQ21/'Est gen ed 23 pos'!CQ$123</f>
        <v>0.99999604682144683</v>
      </c>
      <c r="CR21" s="43">
        <f>'Est gen ed 23 $$'!CR21/'Est gen ed 23 pos'!CR$123</f>
        <v>0.99999604682144683</v>
      </c>
      <c r="CS21" s="43">
        <f>'Est gen ed 23 $$'!CS21/'Est gen ed 23 pos'!CS$123</f>
        <v>1.9999920936428937</v>
      </c>
      <c r="CT21" s="43">
        <f>'Est gen ed 23 $$'!CT21/'Est gen ed 23 pos'!CT$123</f>
        <v>3</v>
      </c>
      <c r="CU21" s="43">
        <f>'Est gen ed 23 $$'!CU21/'Est gen ed 23 pos'!CU$123</f>
        <v>18</v>
      </c>
      <c r="CZ21" s="43">
        <f>'Est gen ed 23 $$'!CW21/'Est gen ed 23 pos'!CZ$123</f>
        <v>0</v>
      </c>
      <c r="DB21" s="28">
        <f t="shared" si="3"/>
        <v>1959144</v>
      </c>
      <c r="DC21" s="28">
        <f t="shared" si="0"/>
        <v>735675.94</v>
      </c>
      <c r="DK21" s="34"/>
      <c r="DL21" s="34"/>
    </row>
    <row r="22" spans="1:116" x14ac:dyDescent="0.2">
      <c r="A22">
        <v>219</v>
      </c>
      <c r="B22" t="s">
        <v>108</v>
      </c>
      <c r="C22" t="s">
        <v>7</v>
      </c>
      <c r="D22">
        <v>5</v>
      </c>
      <c r="E22">
        <f>VLOOKUP($A22,'[1]Init $$'!$B$3:$CG$118,4,FALSE)</f>
        <v>210</v>
      </c>
      <c r="F22">
        <f>VLOOKUP($A22,'[1]Init $$'!$B$3:$CG$118,6,FALSE)</f>
        <v>154</v>
      </c>
      <c r="G22">
        <f>VLOOKUP($A22,'[2]$$xSchpostCouncilxLevel'!$A$4:$EW$120,153,FALSE)</f>
        <v>158</v>
      </c>
      <c r="H22" s="50">
        <f t="shared" si="1"/>
        <v>-4</v>
      </c>
      <c r="I22" s="4">
        <f>VLOOKUP($A22,'[1]Init $$'!$B$3:$CG$118,8,FALSE)</f>
        <v>0.45714285714285713</v>
      </c>
      <c r="J22">
        <f>VLOOKUP($A22,'[1]Init $$'!$B$3:$CG$118,7,FALSE)</f>
        <v>96</v>
      </c>
      <c r="K22" s="43">
        <f>'Est gen ed 23 $$'!K22/'Est gen ed 23 pos'!K$123</f>
        <v>1</v>
      </c>
      <c r="L22" s="43">
        <f>'Est gen ed 23 $$'!L22/'Est gen ed 23 pos'!L$123</f>
        <v>0</v>
      </c>
      <c r="M22" s="43">
        <f>'Est gen ed 23 $$'!M22/'Est gen ed 23 pos'!M$123</f>
        <v>0</v>
      </c>
      <c r="N22" s="43">
        <f>'Est gen ed 23 $$'!N22/'Est gen ed 23 pos'!N$123</f>
        <v>1</v>
      </c>
      <c r="O22" s="34">
        <f>VLOOKUP($A22,'[1]Init $$'!$B$3:$CG$118,15,FALSE)</f>
        <v>7255</v>
      </c>
      <c r="P22" s="43">
        <f>'Est gen ed 23 $$'!P22/'Est gen ed 23 pos'!P$123</f>
        <v>1</v>
      </c>
      <c r="Q22" s="43">
        <f>'Est gen ed 23 $$'!Q22/'Est gen ed 23 pos'!Q$123</f>
        <v>1</v>
      </c>
      <c r="R22" s="43">
        <f>'Est gen ed 23 $$'!R22/'Est gen ed 23 pos'!R$123</f>
        <v>1</v>
      </c>
      <c r="S22" s="43">
        <f>'Est gen ed 23 $$'!S22/'Est gen ed 23 pos'!S$123</f>
        <v>1</v>
      </c>
      <c r="T22" s="43">
        <f>'Est gen ed 23 $$'!T22/'Est gen ed 23 pos'!T$123</f>
        <v>1.9999999121515879</v>
      </c>
      <c r="U22" s="43">
        <f>'Est gen ed 23 $$'!U22/'Est gen ed 23 pos'!U$123</f>
        <v>0</v>
      </c>
      <c r="V22" s="43">
        <f>'Est gen ed 23 $$'!V22/'Est gen ed 23 pos'!V$123</f>
        <v>2.9999999121515879</v>
      </c>
      <c r="W22" s="43">
        <f>'Est gen ed 23 $$'!W22/'Est gen ed 23 pos'!W$123</f>
        <v>4.9999994893586166</v>
      </c>
      <c r="X22" s="34">
        <f>VLOOKUP($A22,'[1]Init $$'!$B$3:$CG$118,24,FALSE)</f>
        <v>100346.4</v>
      </c>
      <c r="Y22" s="34">
        <f>VLOOKUP($A22,'[1]Init $$'!$B$3:$CG$118,25,FALSE)</f>
        <v>0</v>
      </c>
      <c r="Z22" s="34">
        <f>VLOOKUP($A22,'[1]Init $$'!$B$3:$CG$118,26,FALSE)</f>
        <v>0</v>
      </c>
      <c r="AA22" s="34">
        <f>VLOOKUP($A22,'[1]Init $$'!$B$3:$CG$118,27,FALSE)</f>
        <v>0</v>
      </c>
      <c r="AB22" s="43">
        <f>'Est gen ed 23 $$'!AB22/'Est gen ed 23 pos'!AB$123</f>
        <v>0</v>
      </c>
      <c r="AC22" s="43">
        <f>'Est gen ed 23 $$'!AC22/'Est gen ed 23 pos'!AC$123</f>
        <v>0</v>
      </c>
      <c r="AD22" s="43">
        <f>'Est gen ed 23 $$'!AD22/'Est gen ed 23 pos'!AD$123</f>
        <v>0</v>
      </c>
      <c r="AE22" s="43">
        <f>'Est gen ed 23 $$'!AE22/'Est gen ed 23 pos'!AE$123</f>
        <v>0</v>
      </c>
      <c r="AF22" s="34">
        <f>VLOOKUP($A22,'[1]Init $$'!$B$3:$CG$118,32,FALSE)</f>
        <v>919842</v>
      </c>
      <c r="AG22" s="34">
        <f>VLOOKUP($A22,'[1]Init $$'!$B$3:$CG$118,33,FALSE)</f>
        <v>68250</v>
      </c>
      <c r="AH22" s="43">
        <f>'Est gen ed 23 $$'!AH22/'Est gen ed 23 pos'!AH$123</f>
        <v>1</v>
      </c>
      <c r="AI22" s="43">
        <f>'Est gen ed 23 $$'!AI22/'Est gen ed 23 pos'!AI$123</f>
        <v>1</v>
      </c>
      <c r="AJ22" s="43">
        <f>'Est gen ed 23 $$'!AJ22/'Est gen ed 23 pos'!AJ$123</f>
        <v>2.9999999121515879</v>
      </c>
      <c r="AK22" s="43">
        <f>'Est gen ed 23 $$'!AK22/'Est gen ed 23 pos'!AK$123</f>
        <v>2.9999999121515879</v>
      </c>
      <c r="AL22" s="43">
        <f>'Est gen ed 23 $$'!AL22/'Est gen ed 23 pos'!AL$123</f>
        <v>5.9999994893586166</v>
      </c>
      <c r="AM22" s="43">
        <f>'Est gen ed 23 $$'!AM22/'Est gen ed 23 pos'!AM$123</f>
        <v>0</v>
      </c>
      <c r="AN22" s="43">
        <f>'Est gen ed 23 $$'!AN22/'Est gen ed 23 pos'!AN$123</f>
        <v>0</v>
      </c>
      <c r="AO22" s="43">
        <f>'Est gen ed 23 $$'!AO22/'Est gen ed 23 pos'!AO$123</f>
        <v>0</v>
      </c>
      <c r="AP22" s="34">
        <f>VLOOKUP($A22,'[1]Init $$'!$B$3:$CG$118,42,FALSE)</f>
        <v>75259.8</v>
      </c>
      <c r="AQ22" s="34">
        <f>VLOOKUP($A22,'[1]Init $$'!$B$3:$CG$118,43,FALSE)</f>
        <v>0</v>
      </c>
      <c r="AR22" s="43">
        <f>'Est gen ed 23 $$'!AR22/'Est gen ed 23 pos'!AR$123</f>
        <v>1.4999999560757939</v>
      </c>
      <c r="AS22" s="43">
        <f>'Est gen ed 23 $$'!AS22/'Est gen ed 23 pos'!AS$123</f>
        <v>0</v>
      </c>
      <c r="AT22" s="43">
        <f>'Est gen ed 23 $$'!AT22/'Est gen ed 23 pos'!AT$123</f>
        <v>0</v>
      </c>
      <c r="AU22" s="34">
        <f>VLOOKUP($A22,'[1]Init $$'!$B$3:$CG$118,47,FALSE)</f>
        <v>46589.4</v>
      </c>
      <c r="AV22" s="34">
        <f>VLOOKUP($A22,'[1]Init $$'!$B$3:$CG$118,48,FALSE)</f>
        <v>13600</v>
      </c>
      <c r="AW22" s="34">
        <f>VLOOKUP($A22,'[1]Init $$'!$B$3:$CG$118,49,FALSE)</f>
        <v>13600</v>
      </c>
      <c r="AX22" s="34">
        <f>VLOOKUP($A22,'[1]Init $$'!$B$3:$CG$118,50,FALSE)</f>
        <v>10200</v>
      </c>
      <c r="AY22" s="34">
        <f>VLOOKUP($A22,'[1]Init $$'!$B$3:$CG$118,51,FALSE)</f>
        <v>0</v>
      </c>
      <c r="AZ22" s="34">
        <f>VLOOKUP($A22,'[1]Init $$'!$B$3:$CG$118,52,FALSE)</f>
        <v>13600</v>
      </c>
      <c r="BA22" s="34">
        <f>VLOOKUP($A22,'[1]Init $$'!$B$3:$CG$118,53,FALSE)</f>
        <v>0</v>
      </c>
      <c r="BB22" s="34">
        <f>VLOOKUP($A22,'[1]Init $$'!$B$3:$CG$118,54,FALSE)</f>
        <v>13600</v>
      </c>
      <c r="BC22" s="34">
        <f>VLOOKUP($A22,'[1]Init $$'!$B$3:$CG$118,55,FALSE)</f>
        <v>71868.86</v>
      </c>
      <c r="BD22" s="34">
        <f>VLOOKUP($A22,'[1]Init $$'!$B$3:$CG$118,56,FALSE)</f>
        <v>1157.6300000000001</v>
      </c>
      <c r="BE22" s="34">
        <f>VLOOKUP($A22,'[1]Init $$'!$B$3:$CG$118,57,FALSE)</f>
        <v>0</v>
      </c>
      <c r="BF22" s="43">
        <f>'Est gen ed 23 $$'!BF22/'Est gen ed 23 pos'!BF$123</f>
        <v>0</v>
      </c>
      <c r="BG22" s="43">
        <f>'Est gen ed 23 $$'!BG22/'Est gen ed 23 pos'!BG$123</f>
        <v>0</v>
      </c>
      <c r="BH22" s="34">
        <f>VLOOKUP($A22,'[1]Init $$'!$B$3:$CG$118,60,FALSE)</f>
        <v>0</v>
      </c>
      <c r="BI22" s="34">
        <f>VLOOKUP($A22,'[1]Init $$'!$B$3:$CG$118,61,FALSE)</f>
        <v>0</v>
      </c>
      <c r="BJ22" s="34">
        <f>VLOOKUP($A22,'[1]Init $$'!$B$3:$CG$118,62,FALSE)</f>
        <v>0</v>
      </c>
      <c r="BK22" s="43">
        <f>'Est gen ed 23 $$'!BK22/'Est gen ed 23 pos'!BK$123</f>
        <v>0</v>
      </c>
      <c r="BL22" s="34">
        <f>VLOOKUP($A22,'[1]Init $$'!$B$3:$CG$118,64,FALSE)</f>
        <v>0</v>
      </c>
      <c r="BM22" s="43">
        <f>'Est gen ed 23 $$'!BM22/'Est gen ed 23 pos'!BM$123</f>
        <v>0</v>
      </c>
      <c r="BN22" s="34">
        <f>VLOOKUP($A22,'[1]Init $$'!$B$3:$CG$118,66,FALSE)</f>
        <v>0</v>
      </c>
      <c r="BO22" s="43">
        <f>'Est gen ed 23 $$'!BO22/'Est gen ed 23 pos'!BO$123</f>
        <v>0</v>
      </c>
      <c r="BP22" s="34">
        <f>VLOOKUP($A22,'[1]Init $$'!$B$3:$CG$118,68,FALSE)</f>
        <v>0</v>
      </c>
      <c r="BQ22" s="43">
        <f>'Est gen ed 23 $$'!BQ22/'Est gen ed 23 pos'!BQ$123</f>
        <v>0</v>
      </c>
      <c r="BR22" s="43">
        <f>'Est gen ed 23 $$'!BR22/'Est gen ed 23 pos'!BR$123</f>
        <v>0</v>
      </c>
      <c r="BS22" s="34">
        <f>VLOOKUP($A22,'[1]Init $$'!$B$3:$CG$118,71,FALSE)</f>
        <v>0</v>
      </c>
      <c r="BT22" s="34">
        <f>VLOOKUP($A22,'[1]Init $$'!$B$3:$CG$118,72,FALSE)</f>
        <v>0</v>
      </c>
      <c r="BU22" s="34">
        <f>VLOOKUP($A22,'[1]Init $$'!$B$3:$CG$118,73,FALSE)</f>
        <v>0</v>
      </c>
      <c r="BV22" s="34">
        <f>VLOOKUP($A22,'[1]Init $$'!$B$3:$CG$118,74,FALSE)</f>
        <v>0</v>
      </c>
      <c r="BW22" s="34">
        <f>VLOOKUP($A22,'[1]Init $$'!$B$3:$CG$118,75,FALSE)</f>
        <v>0</v>
      </c>
      <c r="BX22" s="43">
        <f>'Est gen ed 23 $$'!BX22/'Est gen ed 23 pos'!BX$123</f>
        <v>0</v>
      </c>
      <c r="BY22" s="43">
        <f>'Est gen ed 23 $$'!BY22/'Est gen ed 23 pos'!BY$123</f>
        <v>0</v>
      </c>
      <c r="BZ22" s="43">
        <f>'Est gen ed 23 $$'!BZ22/'Est gen ed 23 pos'!BZ$123</f>
        <v>0</v>
      </c>
      <c r="CA22" s="34">
        <f>VLOOKUP($A22,'[1]Init $$'!$B$3:$CG$118,79,FALSE)</f>
        <v>257520.38</v>
      </c>
      <c r="CB22" s="34">
        <f>VLOOKUP($A22,'[1]Init $$'!$B$3:$CG$118,80,FALSE)</f>
        <v>14335.2</v>
      </c>
      <c r="CC22" s="34">
        <f>VLOOKUP($A22,'[1]Init $$'!$B$3:$CG$118,81,FALSE)</f>
        <v>0</v>
      </c>
      <c r="CD22" s="34">
        <f>VLOOKUP($A22,'[1]Init $$'!$B$3:$CG$118,82,FALSE)</f>
        <v>0</v>
      </c>
      <c r="CE22" s="34">
        <f>VLOOKUP($A22,'[1]Init $$'!$B$3:$CG$118,83,FALSE)</f>
        <v>263245.48</v>
      </c>
      <c r="CF22" s="34">
        <f>VLOOKUP($A22,'[1]Init $$'!$B$3:$CG$118,84,FALSE)</f>
        <v>0</v>
      </c>
      <c r="CJ22" s="28">
        <f t="shared" si="2"/>
        <v>1890301.6499985831</v>
      </c>
      <c r="CK22" s="43">
        <f>'Est gen ed 23 $$'!CK22/'Est gen ed 23 pos'!CK$123</f>
        <v>0.99999604682144683</v>
      </c>
      <c r="CL22" s="43">
        <f>'Est gen ed 23 $$'!CL22/'Est gen ed 23 pos'!CL$123</f>
        <v>0</v>
      </c>
      <c r="CM22" s="43">
        <f>'Est gen ed 23 $$'!CM22/'Est gen ed 23 pos'!CM$123</f>
        <v>0.5</v>
      </c>
      <c r="CN22" s="43">
        <f>'Est gen ed 23 $$'!CN22/'Est gen ed 23 pos'!CN$123</f>
        <v>0</v>
      </c>
      <c r="CO22" s="43">
        <f>'Est gen ed 23 $$'!CO22/'Est gen ed 23 pos'!CO$123</f>
        <v>0</v>
      </c>
      <c r="CP22" s="43">
        <f>'Est gen ed 23 $$'!CP22/'Est gen ed 23 pos'!CP$123</f>
        <v>0</v>
      </c>
      <c r="CQ22" s="43">
        <f>'Est gen ed 23 $$'!CQ22/'Est gen ed 23 pos'!CQ$123</f>
        <v>0.99999604682144683</v>
      </c>
      <c r="CR22" s="43">
        <f>'Est gen ed 23 $$'!CR22/'Est gen ed 23 pos'!CR$123</f>
        <v>0.99999604682144683</v>
      </c>
      <c r="CS22" s="43">
        <f>'Est gen ed 23 $$'!CS22/'Est gen ed 23 pos'!CS$123</f>
        <v>1.4999940702321701</v>
      </c>
      <c r="CT22" s="43">
        <f>'Est gen ed 23 $$'!CT22/'Est gen ed 23 pos'!CT$123</f>
        <v>2</v>
      </c>
      <c r="CU22" s="43">
        <f>'Est gen ed 23 $$'!CU22/'Est gen ed 23 pos'!CU$123</f>
        <v>10</v>
      </c>
      <c r="CZ22" s="43">
        <f>'Est gen ed 23 $$'!CW22/'Est gen ed 23 pos'!CZ$123</f>
        <v>0</v>
      </c>
      <c r="DB22" s="28">
        <f t="shared" si="3"/>
        <v>919842</v>
      </c>
      <c r="DC22" s="28">
        <f t="shared" si="0"/>
        <v>263245.48</v>
      </c>
      <c r="DK22" s="34"/>
      <c r="DL22" s="34"/>
    </row>
    <row r="23" spans="1:116" x14ac:dyDescent="0.2">
      <c r="A23">
        <v>220</v>
      </c>
      <c r="B23" t="s">
        <v>107</v>
      </c>
      <c r="C23" t="s">
        <v>7</v>
      </c>
      <c r="D23">
        <v>5</v>
      </c>
      <c r="E23">
        <f>VLOOKUP($A23,'[1]Init $$'!$B$3:$CG$118,4,FALSE)</f>
        <v>233</v>
      </c>
      <c r="F23">
        <f>VLOOKUP($A23,'[1]Init $$'!$B$3:$CG$118,6,FALSE)</f>
        <v>166</v>
      </c>
      <c r="G23">
        <f>VLOOKUP($A23,'[2]$$xSchpostCouncilxLevel'!$A$4:$EW$120,153,FALSE)</f>
        <v>198</v>
      </c>
      <c r="H23" s="50">
        <f t="shared" si="1"/>
        <v>-32</v>
      </c>
      <c r="I23" s="4">
        <f>VLOOKUP($A23,'[1]Init $$'!$B$3:$CG$118,8,FALSE)</f>
        <v>0.42489270386266093</v>
      </c>
      <c r="J23">
        <f>VLOOKUP($A23,'[1]Init $$'!$B$3:$CG$118,7,FALSE)</f>
        <v>99</v>
      </c>
      <c r="K23" s="43">
        <f>'Est gen ed 23 $$'!K23/'Est gen ed 23 pos'!K$123</f>
        <v>1</v>
      </c>
      <c r="L23" s="43">
        <f>'Est gen ed 23 $$'!L23/'Est gen ed 23 pos'!L$123</f>
        <v>0</v>
      </c>
      <c r="M23" s="43">
        <f>'Est gen ed 23 $$'!M23/'Est gen ed 23 pos'!M$123</f>
        <v>0</v>
      </c>
      <c r="N23" s="43">
        <f>'Est gen ed 23 $$'!N23/'Est gen ed 23 pos'!N$123</f>
        <v>1</v>
      </c>
      <c r="O23" s="34">
        <f>VLOOKUP($A23,'[1]Init $$'!$B$3:$CG$118,15,FALSE)</f>
        <v>5974.95</v>
      </c>
      <c r="P23" s="43">
        <f>'Est gen ed 23 $$'!P23/'Est gen ed 23 pos'!P$123</f>
        <v>1</v>
      </c>
      <c r="Q23" s="43">
        <f>'Est gen ed 23 $$'!Q23/'Est gen ed 23 pos'!Q$123</f>
        <v>1</v>
      </c>
      <c r="R23" s="43">
        <f>'Est gen ed 23 $$'!R23/'Est gen ed 23 pos'!R$123</f>
        <v>1</v>
      </c>
      <c r="S23" s="43">
        <f>'Est gen ed 23 $$'!S23/'Est gen ed 23 pos'!S$123</f>
        <v>1</v>
      </c>
      <c r="T23" s="43">
        <f>'Est gen ed 23 $$'!T23/'Est gen ed 23 pos'!T$123</f>
        <v>1.9999999121515879</v>
      </c>
      <c r="U23" s="43">
        <f>'Est gen ed 23 $$'!U23/'Est gen ed 23 pos'!U$123</f>
        <v>1</v>
      </c>
      <c r="V23" s="43">
        <f>'Est gen ed 23 $$'!V23/'Est gen ed 23 pos'!V$123</f>
        <v>1.9999999121515879</v>
      </c>
      <c r="W23" s="43">
        <f>'Est gen ed 23 $$'!W23/'Est gen ed 23 pos'!W$123</f>
        <v>4.9999994893586166</v>
      </c>
      <c r="X23" s="34">
        <f>VLOOKUP($A23,'[1]Init $$'!$B$3:$CG$118,24,FALSE)</f>
        <v>120057.3</v>
      </c>
      <c r="Y23" s="34">
        <f>VLOOKUP($A23,'[1]Init $$'!$B$3:$CG$118,25,FALSE)</f>
        <v>0</v>
      </c>
      <c r="Z23" s="34">
        <f>VLOOKUP($A23,'[1]Init $$'!$B$3:$CG$118,26,FALSE)</f>
        <v>0</v>
      </c>
      <c r="AA23" s="34">
        <f>VLOOKUP($A23,'[1]Init $$'!$B$3:$CG$118,27,FALSE)</f>
        <v>0</v>
      </c>
      <c r="AB23" s="43">
        <f>'Est gen ed 23 $$'!AB23/'Est gen ed 23 pos'!AB$123</f>
        <v>0</v>
      </c>
      <c r="AC23" s="43">
        <f>'Est gen ed 23 $$'!AC23/'Est gen ed 23 pos'!AC$123</f>
        <v>0</v>
      </c>
      <c r="AD23" s="43">
        <f>'Est gen ed 23 $$'!AD23/'Est gen ed 23 pos'!AD$123</f>
        <v>0</v>
      </c>
      <c r="AE23" s="43">
        <f>'Est gen ed 23 $$'!AE23/'Est gen ed 23 pos'!AE$123</f>
        <v>0</v>
      </c>
      <c r="AF23" s="34">
        <f>VLOOKUP($A23,'[1]Init $$'!$B$3:$CG$118,32,FALSE)</f>
        <v>991518</v>
      </c>
      <c r="AG23" s="34">
        <f>VLOOKUP($A23,'[1]Init $$'!$B$3:$CG$118,33,FALSE)</f>
        <v>75725</v>
      </c>
      <c r="AH23" s="43">
        <f>'Est gen ed 23 $$'!AH23/'Est gen ed 23 pos'!AH$123</f>
        <v>1</v>
      </c>
      <c r="AI23" s="43">
        <f>'Est gen ed 23 $$'!AI23/'Est gen ed 23 pos'!AI$123</f>
        <v>1</v>
      </c>
      <c r="AJ23" s="43">
        <f>'Est gen ed 23 $$'!AJ23/'Est gen ed 23 pos'!AJ$123</f>
        <v>2.9999999121515879</v>
      </c>
      <c r="AK23" s="43">
        <f>'Est gen ed 23 $$'!AK23/'Est gen ed 23 pos'!AK$123</f>
        <v>3.9999998243031758</v>
      </c>
      <c r="AL23" s="43">
        <f>'Est gen ed 23 $$'!AL23/'Est gen ed 23 pos'!AL$123</f>
        <v>5.9999994893586166</v>
      </c>
      <c r="AM23" s="43">
        <f>'Est gen ed 23 $$'!AM23/'Est gen ed 23 pos'!AM$123</f>
        <v>0</v>
      </c>
      <c r="AN23" s="43">
        <f>'Est gen ed 23 $$'!AN23/'Est gen ed 23 pos'!AN$123</f>
        <v>0</v>
      </c>
      <c r="AO23" s="43">
        <f>'Est gen ed 23 $$'!AO23/'Est gen ed 23 pos'!AO$123</f>
        <v>0</v>
      </c>
      <c r="AP23" s="34">
        <f>VLOOKUP($A23,'[1]Init $$'!$B$3:$CG$118,42,FALSE)</f>
        <v>78843.600000000006</v>
      </c>
      <c r="AQ23" s="34">
        <f>VLOOKUP($A23,'[1]Init $$'!$B$3:$CG$118,43,FALSE)</f>
        <v>0</v>
      </c>
      <c r="AR23" s="43">
        <f>'Est gen ed 23 $$'!AR23/'Est gen ed 23 pos'!AR$123</f>
        <v>1.4999999560757939</v>
      </c>
      <c r="AS23" s="43">
        <f>'Est gen ed 23 $$'!AS23/'Est gen ed 23 pos'!AS$123</f>
        <v>0</v>
      </c>
      <c r="AT23" s="43">
        <f>'Est gen ed 23 $$'!AT23/'Est gen ed 23 pos'!AT$123</f>
        <v>0</v>
      </c>
      <c r="AU23" s="34">
        <f>VLOOKUP($A23,'[1]Init $$'!$B$3:$CG$118,47,FALSE)</f>
        <v>46589.4</v>
      </c>
      <c r="AV23" s="34">
        <f>VLOOKUP($A23,'[1]Init $$'!$B$3:$CG$118,48,FALSE)</f>
        <v>20400</v>
      </c>
      <c r="AW23" s="34">
        <f>VLOOKUP($A23,'[1]Init $$'!$B$3:$CG$118,49,FALSE)</f>
        <v>20400</v>
      </c>
      <c r="AX23" s="34">
        <f>VLOOKUP($A23,'[1]Init $$'!$B$3:$CG$118,50,FALSE)</f>
        <v>10200</v>
      </c>
      <c r="AY23" s="34">
        <f>VLOOKUP($A23,'[1]Init $$'!$B$3:$CG$118,51,FALSE)</f>
        <v>0</v>
      </c>
      <c r="AZ23" s="34">
        <f>VLOOKUP($A23,'[1]Init $$'!$B$3:$CG$118,52,FALSE)</f>
        <v>20400</v>
      </c>
      <c r="BA23" s="34">
        <f>VLOOKUP($A23,'[1]Init $$'!$B$3:$CG$118,53,FALSE)</f>
        <v>0</v>
      </c>
      <c r="BB23" s="34">
        <f>VLOOKUP($A23,'[1]Init $$'!$B$3:$CG$118,54,FALSE)</f>
        <v>20400</v>
      </c>
      <c r="BC23" s="34">
        <f>VLOOKUP($A23,'[1]Init $$'!$B$3:$CG$118,55,FALSE)</f>
        <v>90052.55</v>
      </c>
      <c r="BD23" s="34">
        <f>VLOOKUP($A23,'[1]Init $$'!$B$3:$CG$118,56,FALSE)</f>
        <v>1450.52</v>
      </c>
      <c r="BE23" s="34">
        <f>VLOOKUP($A23,'[1]Init $$'!$B$3:$CG$118,57,FALSE)</f>
        <v>0</v>
      </c>
      <c r="BF23" s="43">
        <f>'Est gen ed 23 $$'!BF23/'Est gen ed 23 pos'!BF$123</f>
        <v>0</v>
      </c>
      <c r="BG23" s="43">
        <f>'Est gen ed 23 $$'!BG23/'Est gen ed 23 pos'!BG$123</f>
        <v>0</v>
      </c>
      <c r="BH23" s="34">
        <f>VLOOKUP($A23,'[1]Init $$'!$B$3:$CG$118,60,FALSE)</f>
        <v>0</v>
      </c>
      <c r="BI23" s="34">
        <f>VLOOKUP($A23,'[1]Init $$'!$B$3:$CG$118,61,FALSE)</f>
        <v>0</v>
      </c>
      <c r="BJ23" s="34">
        <f>VLOOKUP($A23,'[1]Init $$'!$B$3:$CG$118,62,FALSE)</f>
        <v>0</v>
      </c>
      <c r="BK23" s="43">
        <f>'Est gen ed 23 $$'!BK23/'Est gen ed 23 pos'!BK$123</f>
        <v>0</v>
      </c>
      <c r="BL23" s="34">
        <f>VLOOKUP($A23,'[1]Init $$'!$B$3:$CG$118,64,FALSE)</f>
        <v>0</v>
      </c>
      <c r="BM23" s="43">
        <f>'Est gen ed 23 $$'!BM23/'Est gen ed 23 pos'!BM$123</f>
        <v>0</v>
      </c>
      <c r="BN23" s="34">
        <f>VLOOKUP($A23,'[1]Init $$'!$B$3:$CG$118,66,FALSE)</f>
        <v>0</v>
      </c>
      <c r="BO23" s="43">
        <f>'Est gen ed 23 $$'!BO23/'Est gen ed 23 pos'!BO$123</f>
        <v>0</v>
      </c>
      <c r="BP23" s="34">
        <f>VLOOKUP($A23,'[1]Init $$'!$B$3:$CG$118,68,FALSE)</f>
        <v>0</v>
      </c>
      <c r="BQ23" s="43">
        <f>'Est gen ed 23 $$'!BQ23/'Est gen ed 23 pos'!BQ$123</f>
        <v>0</v>
      </c>
      <c r="BR23" s="43">
        <f>'Est gen ed 23 $$'!BR23/'Est gen ed 23 pos'!BR$123</f>
        <v>0</v>
      </c>
      <c r="BS23" s="34">
        <f>VLOOKUP($A23,'[1]Init $$'!$B$3:$CG$118,71,FALSE)</f>
        <v>0</v>
      </c>
      <c r="BT23" s="34">
        <f>VLOOKUP($A23,'[1]Init $$'!$B$3:$CG$118,72,FALSE)</f>
        <v>0</v>
      </c>
      <c r="BU23" s="34">
        <f>VLOOKUP($A23,'[1]Init $$'!$B$3:$CG$118,73,FALSE)</f>
        <v>15325</v>
      </c>
      <c r="BV23" s="34">
        <f>VLOOKUP($A23,'[1]Init $$'!$B$3:$CG$118,74,FALSE)</f>
        <v>0</v>
      </c>
      <c r="BW23" s="34">
        <f>VLOOKUP($A23,'[1]Init $$'!$B$3:$CG$118,75,FALSE)</f>
        <v>0</v>
      </c>
      <c r="BX23" s="43">
        <f>'Est gen ed 23 $$'!BX23/'Est gen ed 23 pos'!BX$123</f>
        <v>0</v>
      </c>
      <c r="BY23" s="43">
        <f>'Est gen ed 23 $$'!BY23/'Est gen ed 23 pos'!BY$123</f>
        <v>0</v>
      </c>
      <c r="BZ23" s="43">
        <f>'Est gen ed 23 $$'!BZ23/'Est gen ed 23 pos'!BZ$123</f>
        <v>0</v>
      </c>
      <c r="CA23" s="34">
        <f>VLOOKUP($A23,'[1]Init $$'!$B$3:$CG$118,79,FALSE)</f>
        <v>265567.90000000002</v>
      </c>
      <c r="CB23" s="34">
        <f>VLOOKUP($A23,'[1]Init $$'!$B$3:$CG$118,80,FALSE)</f>
        <v>6928.68</v>
      </c>
      <c r="CC23" s="34">
        <f>VLOOKUP($A23,'[1]Init $$'!$B$3:$CG$118,81,FALSE)</f>
        <v>93694.21</v>
      </c>
      <c r="CD23" s="34">
        <f>VLOOKUP($A23,'[1]Init $$'!$B$3:$CG$118,82,FALSE)</f>
        <v>0</v>
      </c>
      <c r="CE23" s="34">
        <f>VLOOKUP($A23,'[1]Init $$'!$B$3:$CG$118,83,FALSE)</f>
        <v>403346.19</v>
      </c>
      <c r="CF23" s="34">
        <f>VLOOKUP($A23,'[1]Init $$'!$B$3:$CG$118,84,FALSE)</f>
        <v>0</v>
      </c>
      <c r="CJ23" s="28">
        <f t="shared" si="2"/>
        <v>2286905.7999984957</v>
      </c>
      <c r="CK23" s="43">
        <f>'Est gen ed 23 $$'!CK23/'Est gen ed 23 pos'!CK$123</f>
        <v>0.99999604682144683</v>
      </c>
      <c r="CL23" s="43">
        <f>'Est gen ed 23 $$'!CL23/'Est gen ed 23 pos'!CL$123</f>
        <v>0</v>
      </c>
      <c r="CM23" s="43">
        <f>'Est gen ed 23 $$'!CM23/'Est gen ed 23 pos'!CM$123</f>
        <v>0.5</v>
      </c>
      <c r="CN23" s="43">
        <f>'Est gen ed 23 $$'!CN23/'Est gen ed 23 pos'!CN$123</f>
        <v>0</v>
      </c>
      <c r="CO23" s="43">
        <f>'Est gen ed 23 $$'!CO23/'Est gen ed 23 pos'!CO$123</f>
        <v>0</v>
      </c>
      <c r="CP23" s="43">
        <f>'Est gen ed 23 $$'!CP23/'Est gen ed 23 pos'!CP$123</f>
        <v>0</v>
      </c>
      <c r="CQ23" s="43">
        <f>'Est gen ed 23 $$'!CQ23/'Est gen ed 23 pos'!CQ$123</f>
        <v>0.99999604682144683</v>
      </c>
      <c r="CR23" s="43">
        <f>'Est gen ed 23 $$'!CR23/'Est gen ed 23 pos'!CR$123</f>
        <v>0.99999604682144683</v>
      </c>
      <c r="CS23" s="43">
        <f>'Est gen ed 23 $$'!CS23/'Est gen ed 23 pos'!CS$123</f>
        <v>1.4999940702321701</v>
      </c>
      <c r="CT23" s="43">
        <f>'Est gen ed 23 $$'!CT23/'Est gen ed 23 pos'!CT$123</f>
        <v>2</v>
      </c>
      <c r="CU23" s="43">
        <f>'Est gen ed 23 $$'!CU23/'Est gen ed 23 pos'!CU$123</f>
        <v>10</v>
      </c>
      <c r="CZ23" s="43">
        <f>'Est gen ed 23 $$'!CW23/'Est gen ed 23 pos'!CZ$123</f>
        <v>0</v>
      </c>
      <c r="DB23" s="28">
        <f t="shared" si="3"/>
        <v>991518</v>
      </c>
      <c r="DC23" s="28">
        <f t="shared" si="0"/>
        <v>497040.4</v>
      </c>
      <c r="DK23" s="34"/>
      <c r="DL23" s="34"/>
    </row>
    <row r="24" spans="1:116" x14ac:dyDescent="0.2">
      <c r="A24">
        <v>221</v>
      </c>
      <c r="B24" t="s">
        <v>106</v>
      </c>
      <c r="C24" t="s">
        <v>7</v>
      </c>
      <c r="D24">
        <v>7</v>
      </c>
      <c r="E24">
        <f>VLOOKUP($A24,'[1]Init $$'!$B$3:$CG$118,4,FALSE)</f>
        <v>257</v>
      </c>
      <c r="F24">
        <f>VLOOKUP($A24,'[1]Init $$'!$B$3:$CG$118,6,FALSE)</f>
        <v>185</v>
      </c>
      <c r="G24">
        <f>VLOOKUP($A24,'[2]$$xSchpostCouncilxLevel'!$A$4:$EW$120,153,FALSE)</f>
        <v>220</v>
      </c>
      <c r="H24" s="50">
        <f t="shared" si="1"/>
        <v>-35</v>
      </c>
      <c r="I24" s="4">
        <f>VLOOKUP($A24,'[1]Init $$'!$B$3:$CG$118,8,FALSE)</f>
        <v>0.70817120622568097</v>
      </c>
      <c r="J24">
        <f>VLOOKUP($A24,'[1]Init $$'!$B$3:$CG$118,7,FALSE)</f>
        <v>182</v>
      </c>
      <c r="K24" s="43">
        <f>'Est gen ed 23 $$'!K24/'Est gen ed 23 pos'!K$123</f>
        <v>1</v>
      </c>
      <c r="L24" s="43">
        <f>'Est gen ed 23 $$'!L24/'Est gen ed 23 pos'!L$123</f>
        <v>0</v>
      </c>
      <c r="M24" s="43">
        <f>'Est gen ed 23 $$'!M24/'Est gen ed 23 pos'!M$123</f>
        <v>0</v>
      </c>
      <c r="N24" s="43">
        <f>'Est gen ed 23 $$'!N24/'Est gen ed 23 pos'!N$123</f>
        <v>1</v>
      </c>
      <c r="O24" s="34">
        <f>VLOOKUP($A24,'[1]Init $$'!$B$3:$CG$118,15,FALSE)</f>
        <v>7117.95</v>
      </c>
      <c r="P24" s="43">
        <f>'Est gen ed 23 $$'!P24/'Est gen ed 23 pos'!P$123</f>
        <v>1</v>
      </c>
      <c r="Q24" s="43">
        <f>'Est gen ed 23 $$'!Q24/'Est gen ed 23 pos'!Q$123</f>
        <v>1</v>
      </c>
      <c r="R24" s="43">
        <f>'Est gen ed 23 $$'!R24/'Est gen ed 23 pos'!R$123</f>
        <v>1</v>
      </c>
      <c r="S24" s="43">
        <f>'Est gen ed 23 $$'!S24/'Est gen ed 23 pos'!S$123</f>
        <v>1</v>
      </c>
      <c r="T24" s="43">
        <f>'Est gen ed 23 $$'!T24/'Est gen ed 23 pos'!T$123</f>
        <v>1.9999999121515879</v>
      </c>
      <c r="U24" s="43">
        <f>'Est gen ed 23 $$'!U24/'Est gen ed 23 pos'!U$123</f>
        <v>1</v>
      </c>
      <c r="V24" s="43">
        <f>'Est gen ed 23 $$'!V24/'Est gen ed 23 pos'!V$123</f>
        <v>2.9999999121515879</v>
      </c>
      <c r="W24" s="43">
        <f>'Est gen ed 23 $$'!W24/'Est gen ed 23 pos'!W$123</f>
        <v>5.9999994893586166</v>
      </c>
      <c r="X24" s="34">
        <f>VLOOKUP($A24,'[1]Init $$'!$B$3:$CG$118,24,FALSE)</f>
        <v>129016.8</v>
      </c>
      <c r="Y24" s="34">
        <f>VLOOKUP($A24,'[1]Init $$'!$B$3:$CG$118,25,FALSE)</f>
        <v>0</v>
      </c>
      <c r="Z24" s="34">
        <f>VLOOKUP($A24,'[1]Init $$'!$B$3:$CG$118,26,FALSE)</f>
        <v>0</v>
      </c>
      <c r="AA24" s="34">
        <f>VLOOKUP($A24,'[1]Init $$'!$B$3:$CG$118,27,FALSE)</f>
        <v>0</v>
      </c>
      <c r="AB24" s="43">
        <f>'Est gen ed 23 $$'!AB24/'Est gen ed 23 pos'!AB$123</f>
        <v>0</v>
      </c>
      <c r="AC24" s="43">
        <f>'Est gen ed 23 $$'!AC24/'Est gen ed 23 pos'!AC$123</f>
        <v>0</v>
      </c>
      <c r="AD24" s="43">
        <f>'Est gen ed 23 $$'!AD24/'Est gen ed 23 pos'!AD$123</f>
        <v>0</v>
      </c>
      <c r="AE24" s="43">
        <f>'Est gen ed 23 $$'!AE24/'Est gen ed 23 pos'!AE$123</f>
        <v>0</v>
      </c>
      <c r="AF24" s="34">
        <f>VLOOKUP($A24,'[1]Init $$'!$B$3:$CG$118,32,FALSE)</f>
        <v>1105005</v>
      </c>
      <c r="AG24" s="34">
        <f>VLOOKUP($A24,'[1]Init $$'!$B$3:$CG$118,33,FALSE)</f>
        <v>83525</v>
      </c>
      <c r="AH24" s="43">
        <f>'Est gen ed 23 $$'!AH24/'Est gen ed 23 pos'!AH$123</f>
        <v>1</v>
      </c>
      <c r="AI24" s="43">
        <f>'Est gen ed 23 $$'!AI24/'Est gen ed 23 pos'!AI$123</f>
        <v>1</v>
      </c>
      <c r="AJ24" s="43">
        <f>'Est gen ed 23 $$'!AJ24/'Est gen ed 23 pos'!AJ$123</f>
        <v>2.9999999121515879</v>
      </c>
      <c r="AK24" s="43">
        <f>'Est gen ed 23 $$'!AK24/'Est gen ed 23 pos'!AK$123</f>
        <v>0</v>
      </c>
      <c r="AL24" s="43">
        <f>'Est gen ed 23 $$'!AL24/'Est gen ed 23 pos'!AL$123</f>
        <v>0</v>
      </c>
      <c r="AM24" s="43">
        <f>'Est gen ed 23 $$'!AM24/'Est gen ed 23 pos'!AM$123</f>
        <v>0</v>
      </c>
      <c r="AN24" s="43">
        <f>'Est gen ed 23 $$'!AN24/'Est gen ed 23 pos'!AN$123</f>
        <v>0</v>
      </c>
      <c r="AO24" s="43">
        <f>'Est gen ed 23 $$'!AO24/'Est gen ed 23 pos'!AO$123</f>
        <v>0</v>
      </c>
      <c r="AP24" s="34">
        <f>VLOOKUP($A24,'[1]Init $$'!$B$3:$CG$118,42,FALSE)</f>
        <v>44797.5</v>
      </c>
      <c r="AQ24" s="34">
        <f>VLOOKUP($A24,'[1]Init $$'!$B$3:$CG$118,43,FALSE)</f>
        <v>0</v>
      </c>
      <c r="AR24" s="43">
        <f>'Est gen ed 23 $$'!AR24/'Est gen ed 23 pos'!AR$123</f>
        <v>0</v>
      </c>
      <c r="AS24" s="43">
        <f>'Est gen ed 23 $$'!AS24/'Est gen ed 23 pos'!AS$123</f>
        <v>0.17999999121515878</v>
      </c>
      <c r="AT24" s="43">
        <f>'Est gen ed 23 $$'!AT24/'Est gen ed 23 pos'!AT$123</f>
        <v>0</v>
      </c>
      <c r="AU24" s="34">
        <f>VLOOKUP($A24,'[1]Init $$'!$B$3:$CG$118,47,FALSE)</f>
        <v>7167.6</v>
      </c>
      <c r="AV24" s="34">
        <f>VLOOKUP($A24,'[1]Init $$'!$B$3:$CG$118,48,FALSE)</f>
        <v>13600</v>
      </c>
      <c r="AW24" s="34">
        <f>VLOOKUP($A24,'[1]Init $$'!$B$3:$CG$118,49,FALSE)</f>
        <v>13600</v>
      </c>
      <c r="AX24" s="34">
        <f>VLOOKUP($A24,'[1]Init $$'!$B$3:$CG$118,50,FALSE)</f>
        <v>10200</v>
      </c>
      <c r="AY24" s="34">
        <f>VLOOKUP($A24,'[1]Init $$'!$B$3:$CG$118,51,FALSE)</f>
        <v>0</v>
      </c>
      <c r="AZ24" s="34">
        <f>VLOOKUP($A24,'[1]Init $$'!$B$3:$CG$118,52,FALSE)</f>
        <v>13600</v>
      </c>
      <c r="BA24" s="34">
        <f>VLOOKUP($A24,'[1]Init $$'!$B$3:$CG$118,53,FALSE)</f>
        <v>0</v>
      </c>
      <c r="BB24" s="34">
        <f>VLOOKUP($A24,'[1]Init $$'!$B$3:$CG$118,54,FALSE)</f>
        <v>13600</v>
      </c>
      <c r="BC24" s="34">
        <f>VLOOKUP($A24,'[1]Init $$'!$B$3:$CG$118,55,FALSE)</f>
        <v>139083.56</v>
      </c>
      <c r="BD24" s="34">
        <f>VLOOKUP($A24,'[1]Init $$'!$B$3:$CG$118,56,FALSE)</f>
        <v>2240.29</v>
      </c>
      <c r="BE24" s="34">
        <f>VLOOKUP($A24,'[1]Init $$'!$B$3:$CG$118,57,FALSE)</f>
        <v>0</v>
      </c>
      <c r="BF24" s="43">
        <f>'Est gen ed 23 $$'!BF24/'Est gen ed 23 pos'!BF$123</f>
        <v>0</v>
      </c>
      <c r="BG24" s="43">
        <f>'Est gen ed 23 $$'!BG24/'Est gen ed 23 pos'!BG$123</f>
        <v>0</v>
      </c>
      <c r="BH24" s="34">
        <f>VLOOKUP($A24,'[1]Init $$'!$B$3:$CG$118,60,FALSE)</f>
        <v>0</v>
      </c>
      <c r="BI24" s="34">
        <f>VLOOKUP($A24,'[1]Init $$'!$B$3:$CG$118,61,FALSE)</f>
        <v>0</v>
      </c>
      <c r="BJ24" s="34">
        <f>VLOOKUP($A24,'[1]Init $$'!$B$3:$CG$118,62,FALSE)</f>
        <v>0</v>
      </c>
      <c r="BK24" s="43">
        <f>'Est gen ed 23 $$'!BK24/'Est gen ed 23 pos'!BK$123</f>
        <v>0</v>
      </c>
      <c r="BL24" s="34">
        <f>VLOOKUP($A24,'[1]Init $$'!$B$3:$CG$118,64,FALSE)</f>
        <v>0</v>
      </c>
      <c r="BM24" s="43">
        <f>'Est gen ed 23 $$'!BM24/'Est gen ed 23 pos'!BM$123</f>
        <v>0</v>
      </c>
      <c r="BN24" s="34">
        <f>VLOOKUP($A24,'[1]Init $$'!$B$3:$CG$118,66,FALSE)</f>
        <v>0</v>
      </c>
      <c r="BO24" s="43">
        <f>'Est gen ed 23 $$'!BO24/'Est gen ed 23 pos'!BO$123</f>
        <v>0</v>
      </c>
      <c r="BP24" s="34">
        <f>VLOOKUP($A24,'[1]Init $$'!$B$3:$CG$118,68,FALSE)</f>
        <v>0</v>
      </c>
      <c r="BQ24" s="43">
        <f>'Est gen ed 23 $$'!BQ24/'Est gen ed 23 pos'!BQ$123</f>
        <v>0</v>
      </c>
      <c r="BR24" s="43">
        <f>'Est gen ed 23 $$'!BR24/'Est gen ed 23 pos'!BR$123</f>
        <v>0</v>
      </c>
      <c r="BS24" s="34">
        <f>VLOOKUP($A24,'[1]Init $$'!$B$3:$CG$118,71,FALSE)</f>
        <v>0</v>
      </c>
      <c r="BT24" s="34">
        <f>VLOOKUP($A24,'[1]Init $$'!$B$3:$CG$118,72,FALSE)</f>
        <v>0</v>
      </c>
      <c r="BU24" s="34">
        <f>VLOOKUP($A24,'[1]Init $$'!$B$3:$CG$118,73,FALSE)</f>
        <v>15325</v>
      </c>
      <c r="BV24" s="34">
        <f>VLOOKUP($A24,'[1]Init $$'!$B$3:$CG$118,74,FALSE)</f>
        <v>0</v>
      </c>
      <c r="BW24" s="34">
        <f>VLOOKUP($A24,'[1]Init $$'!$B$3:$CG$118,75,FALSE)</f>
        <v>0</v>
      </c>
      <c r="BX24" s="43">
        <f>'Est gen ed 23 $$'!BX24/'Est gen ed 23 pos'!BX$123</f>
        <v>0</v>
      </c>
      <c r="BY24" s="43">
        <f>'Est gen ed 23 $$'!BY24/'Est gen ed 23 pos'!BY$123</f>
        <v>0</v>
      </c>
      <c r="BZ24" s="43">
        <f>'Est gen ed 23 $$'!BZ24/'Est gen ed 23 pos'!BZ$123</f>
        <v>0</v>
      </c>
      <c r="CA24" s="34">
        <f>VLOOKUP($A24,'[1]Init $$'!$B$3:$CG$118,79,FALSE)</f>
        <v>488215.73</v>
      </c>
      <c r="CB24" s="34">
        <f>VLOOKUP($A24,'[1]Init $$'!$B$3:$CG$118,80,FALSE)</f>
        <v>94612.32</v>
      </c>
      <c r="CC24" s="34">
        <f>VLOOKUP($A24,'[1]Init $$'!$B$3:$CG$118,81,FALSE)</f>
        <v>0</v>
      </c>
      <c r="CD24" s="34">
        <f>VLOOKUP($A24,'[1]Init $$'!$B$3:$CG$118,82,FALSE)</f>
        <v>0</v>
      </c>
      <c r="CE24" s="34">
        <f>VLOOKUP($A24,'[1]Init $$'!$B$3:$CG$118,83,FALSE)</f>
        <v>380516.39</v>
      </c>
      <c r="CF24" s="34">
        <f>VLOOKUP($A24,'[1]Init $$'!$B$3:$CG$118,84,FALSE)</f>
        <v>0</v>
      </c>
      <c r="CJ24" s="28">
        <f t="shared" si="2"/>
        <v>2561246.3199992175</v>
      </c>
      <c r="CK24" s="43">
        <f>'Est gen ed 23 $$'!CK24/'Est gen ed 23 pos'!CK$123</f>
        <v>0.99999604682144683</v>
      </c>
      <c r="CL24" s="43">
        <f>'Est gen ed 23 $$'!CL24/'Est gen ed 23 pos'!CL$123</f>
        <v>0</v>
      </c>
      <c r="CM24" s="43">
        <f>'Est gen ed 23 $$'!CM24/'Est gen ed 23 pos'!CM$123</f>
        <v>0.5</v>
      </c>
      <c r="CN24" s="43">
        <f>'Est gen ed 23 $$'!CN24/'Est gen ed 23 pos'!CN$123</f>
        <v>0</v>
      </c>
      <c r="CO24" s="43">
        <f>'Est gen ed 23 $$'!CO24/'Est gen ed 23 pos'!CO$123</f>
        <v>0</v>
      </c>
      <c r="CP24" s="43">
        <f>'Est gen ed 23 $$'!CP24/'Est gen ed 23 pos'!CP$123</f>
        <v>0</v>
      </c>
      <c r="CQ24" s="43">
        <f>'Est gen ed 23 $$'!CQ24/'Est gen ed 23 pos'!CQ$123</f>
        <v>0.99999604682144683</v>
      </c>
      <c r="CR24" s="43">
        <f>'Est gen ed 23 $$'!CR24/'Est gen ed 23 pos'!CR$123</f>
        <v>0.99999604682144683</v>
      </c>
      <c r="CS24" s="43">
        <f>'Est gen ed 23 $$'!CS24/'Est gen ed 23 pos'!CS$123</f>
        <v>1.4999940702321701</v>
      </c>
      <c r="CT24" s="43">
        <f>'Est gen ed 23 $$'!CT24/'Est gen ed 23 pos'!CT$123</f>
        <v>2</v>
      </c>
      <c r="CU24" s="43">
        <f>'Est gen ed 23 $$'!CU24/'Est gen ed 23 pos'!CU$123</f>
        <v>11</v>
      </c>
      <c r="CZ24" s="43">
        <f>'Est gen ed 23 $$'!CW24/'Est gen ed 23 pos'!CZ$123</f>
        <v>0</v>
      </c>
      <c r="DB24" s="28">
        <f t="shared" si="3"/>
        <v>1105005</v>
      </c>
      <c r="DC24" s="28">
        <f t="shared" si="0"/>
        <v>380516.39</v>
      </c>
      <c r="DK24" s="34"/>
      <c r="DL24" s="34"/>
    </row>
    <row r="25" spans="1:116" x14ac:dyDescent="0.2">
      <c r="A25">
        <v>247</v>
      </c>
      <c r="B25" t="s">
        <v>105</v>
      </c>
      <c r="C25" t="s">
        <v>7</v>
      </c>
      <c r="D25">
        <v>7</v>
      </c>
      <c r="E25">
        <f>VLOOKUP($A25,'[1]Init $$'!$B$3:$CG$118,4,FALSE)</f>
        <v>238</v>
      </c>
      <c r="F25">
        <f>VLOOKUP($A25,'[1]Init $$'!$B$3:$CG$118,6,FALSE)</f>
        <v>190</v>
      </c>
      <c r="G25">
        <f>VLOOKUP($A25,'[2]$$xSchpostCouncilxLevel'!$A$4:$EW$120,153,FALSE)</f>
        <v>188</v>
      </c>
      <c r="H25" s="50">
        <f t="shared" si="1"/>
        <v>2</v>
      </c>
      <c r="I25" s="4">
        <f>VLOOKUP($A25,'[1]Init $$'!$B$3:$CG$118,8,FALSE)</f>
        <v>0.78151260504201681</v>
      </c>
      <c r="J25">
        <f>VLOOKUP($A25,'[1]Init $$'!$B$3:$CG$118,7,FALSE)</f>
        <v>186</v>
      </c>
      <c r="K25" s="43">
        <f>'Est gen ed 23 $$'!K25/'Est gen ed 23 pos'!K$123</f>
        <v>1</v>
      </c>
      <c r="L25" s="43">
        <f>'Est gen ed 23 $$'!L25/'Est gen ed 23 pos'!L$123</f>
        <v>0</v>
      </c>
      <c r="M25" s="43">
        <f>'Est gen ed 23 $$'!M25/'Est gen ed 23 pos'!M$123</f>
        <v>0</v>
      </c>
      <c r="N25" s="43">
        <f>'Est gen ed 23 $$'!N25/'Est gen ed 23 pos'!N$123</f>
        <v>1</v>
      </c>
      <c r="O25" s="34">
        <f>VLOOKUP($A25,'[1]Init $$'!$B$3:$CG$118,15,FALSE)</f>
        <v>6031.15</v>
      </c>
      <c r="P25" s="43">
        <f>'Est gen ed 23 $$'!P25/'Est gen ed 23 pos'!P$123</f>
        <v>1</v>
      </c>
      <c r="Q25" s="43">
        <f>'Est gen ed 23 $$'!Q25/'Est gen ed 23 pos'!Q$123</f>
        <v>1</v>
      </c>
      <c r="R25" s="43">
        <f>'Est gen ed 23 $$'!R25/'Est gen ed 23 pos'!R$123</f>
        <v>1</v>
      </c>
      <c r="S25" s="43">
        <f>'Est gen ed 23 $$'!S25/'Est gen ed 23 pos'!S$123</f>
        <v>1</v>
      </c>
      <c r="T25" s="43">
        <f>'Est gen ed 23 $$'!T25/'Est gen ed 23 pos'!T$123</f>
        <v>0</v>
      </c>
      <c r="U25" s="43">
        <f>'Est gen ed 23 $$'!U25/'Est gen ed 23 pos'!U$123</f>
        <v>2.9999999121515879</v>
      </c>
      <c r="V25" s="43">
        <f>'Est gen ed 23 $$'!V25/'Est gen ed 23 pos'!V$123</f>
        <v>0</v>
      </c>
      <c r="W25" s="43">
        <f>'Est gen ed 23 $$'!W25/'Est gen ed 23 pos'!W$123</f>
        <v>2.9999997446793083</v>
      </c>
      <c r="X25" s="34">
        <f>VLOOKUP($A25,'[1]Init $$'!$B$3:$CG$118,24,FALSE)</f>
        <v>86011.199999999997</v>
      </c>
      <c r="Y25" s="34">
        <f>VLOOKUP($A25,'[1]Init $$'!$B$3:$CG$118,25,FALSE)</f>
        <v>0</v>
      </c>
      <c r="Z25" s="34">
        <f>VLOOKUP($A25,'[1]Init $$'!$B$3:$CG$118,26,FALSE)</f>
        <v>0</v>
      </c>
      <c r="AA25" s="34">
        <f>VLOOKUP($A25,'[1]Init $$'!$B$3:$CG$118,27,FALSE)</f>
        <v>0</v>
      </c>
      <c r="AB25" s="43">
        <f>'Est gen ed 23 $$'!AB25/'Est gen ed 23 pos'!AB$123</f>
        <v>0</v>
      </c>
      <c r="AC25" s="43">
        <f>'Est gen ed 23 $$'!AC25/'Est gen ed 23 pos'!AC$123</f>
        <v>0</v>
      </c>
      <c r="AD25" s="43">
        <f>'Est gen ed 23 $$'!AD25/'Est gen ed 23 pos'!AD$123</f>
        <v>0</v>
      </c>
      <c r="AE25" s="43">
        <f>'Est gen ed 23 $$'!AE25/'Est gen ed 23 pos'!AE$123</f>
        <v>0</v>
      </c>
      <c r="AF25" s="34">
        <f>VLOOKUP($A25,'[1]Init $$'!$B$3:$CG$118,32,FALSE)</f>
        <v>1134870</v>
      </c>
      <c r="AG25" s="34">
        <f>VLOOKUP($A25,'[1]Init $$'!$B$3:$CG$118,33,FALSE)</f>
        <v>77350</v>
      </c>
      <c r="AH25" s="43">
        <f>'Est gen ed 23 $$'!AH25/'Est gen ed 23 pos'!AH$123</f>
        <v>1</v>
      </c>
      <c r="AI25" s="43">
        <f>'Est gen ed 23 $$'!AI25/'Est gen ed 23 pos'!AI$123</f>
        <v>1.9999999121515879</v>
      </c>
      <c r="AJ25" s="43">
        <f>'Est gen ed 23 $$'!AJ25/'Est gen ed 23 pos'!AJ$123</f>
        <v>2.9999999121515879</v>
      </c>
      <c r="AK25" s="43">
        <f>'Est gen ed 23 $$'!AK25/'Est gen ed 23 pos'!AK$123</f>
        <v>3.9999998243031758</v>
      </c>
      <c r="AL25" s="43">
        <f>'Est gen ed 23 $$'!AL25/'Est gen ed 23 pos'!AL$123</f>
        <v>5.9999994893586166</v>
      </c>
      <c r="AM25" s="43">
        <f>'Est gen ed 23 $$'!AM25/'Est gen ed 23 pos'!AM$123</f>
        <v>0</v>
      </c>
      <c r="AN25" s="43">
        <f>'Est gen ed 23 $$'!AN25/'Est gen ed 23 pos'!AN$123</f>
        <v>0</v>
      </c>
      <c r="AO25" s="43">
        <f>'Est gen ed 23 $$'!AO25/'Est gen ed 23 pos'!AO$123</f>
        <v>0</v>
      </c>
      <c r="AP25" s="34">
        <f>VLOOKUP($A25,'[1]Init $$'!$B$3:$CG$118,42,FALSE)</f>
        <v>82427.399999999994</v>
      </c>
      <c r="AQ25" s="34">
        <f>VLOOKUP($A25,'[1]Init $$'!$B$3:$CG$118,43,FALSE)</f>
        <v>0</v>
      </c>
      <c r="AR25" s="43">
        <f>'Est gen ed 23 $$'!AR25/'Est gen ed 23 pos'!AR$123</f>
        <v>0</v>
      </c>
      <c r="AS25" s="43">
        <f>'Est gen ed 23 $$'!AS25/'Est gen ed 23 pos'!AS$123</f>
        <v>0.13999997364547631</v>
      </c>
      <c r="AT25" s="43">
        <f>'Est gen ed 23 $$'!AT25/'Est gen ed 23 pos'!AT$123</f>
        <v>0</v>
      </c>
      <c r="AU25" s="34">
        <f>VLOOKUP($A25,'[1]Init $$'!$B$3:$CG$118,47,FALSE)</f>
        <v>5375.7</v>
      </c>
      <c r="AV25" s="34">
        <f>VLOOKUP($A25,'[1]Init $$'!$B$3:$CG$118,48,FALSE)</f>
        <v>13600</v>
      </c>
      <c r="AW25" s="34">
        <f>VLOOKUP($A25,'[1]Init $$'!$B$3:$CG$118,49,FALSE)</f>
        <v>6800</v>
      </c>
      <c r="AX25" s="34">
        <f>VLOOKUP($A25,'[1]Init $$'!$B$3:$CG$118,50,FALSE)</f>
        <v>10200</v>
      </c>
      <c r="AY25" s="34">
        <f>VLOOKUP($A25,'[1]Init $$'!$B$3:$CG$118,51,FALSE)</f>
        <v>0</v>
      </c>
      <c r="AZ25" s="34">
        <f>VLOOKUP($A25,'[1]Init $$'!$B$3:$CG$118,52,FALSE)</f>
        <v>13600</v>
      </c>
      <c r="BA25" s="34">
        <f>VLOOKUP($A25,'[1]Init $$'!$B$3:$CG$118,53,FALSE)</f>
        <v>0</v>
      </c>
      <c r="BB25" s="34">
        <f>VLOOKUP($A25,'[1]Init $$'!$B$3:$CG$118,54,FALSE)</f>
        <v>6800</v>
      </c>
      <c r="BC25" s="34">
        <f>VLOOKUP($A25,'[1]Init $$'!$B$3:$CG$118,55,FALSE)</f>
        <v>128801.12</v>
      </c>
      <c r="BD25" s="34">
        <f>VLOOKUP($A25,'[1]Init $$'!$B$3:$CG$118,56,FALSE)</f>
        <v>2074.67</v>
      </c>
      <c r="BE25" s="34">
        <f>VLOOKUP($A25,'[1]Init $$'!$B$3:$CG$118,57,FALSE)</f>
        <v>0</v>
      </c>
      <c r="BF25" s="43">
        <f>'Est gen ed 23 $$'!BF25/'Est gen ed 23 pos'!BF$123</f>
        <v>1</v>
      </c>
      <c r="BG25" s="43">
        <f>'Est gen ed 23 $$'!BG25/'Est gen ed 23 pos'!BG$123</f>
        <v>0</v>
      </c>
      <c r="BH25" s="34">
        <f>VLOOKUP($A25,'[1]Init $$'!$B$3:$CG$118,60,FALSE)</f>
        <v>0</v>
      </c>
      <c r="BI25" s="34">
        <f>VLOOKUP($A25,'[1]Init $$'!$B$3:$CG$118,61,FALSE)</f>
        <v>0</v>
      </c>
      <c r="BJ25" s="34">
        <f>VLOOKUP($A25,'[1]Init $$'!$B$3:$CG$118,62,FALSE)</f>
        <v>0</v>
      </c>
      <c r="BK25" s="43">
        <f>'Est gen ed 23 $$'!BK25/'Est gen ed 23 pos'!BK$123</f>
        <v>0</v>
      </c>
      <c r="BL25" s="34">
        <f>VLOOKUP($A25,'[1]Init $$'!$B$3:$CG$118,64,FALSE)</f>
        <v>0</v>
      </c>
      <c r="BM25" s="43">
        <f>'Est gen ed 23 $$'!BM25/'Est gen ed 23 pos'!BM$123</f>
        <v>0</v>
      </c>
      <c r="BN25" s="34">
        <f>VLOOKUP($A25,'[1]Init $$'!$B$3:$CG$118,66,FALSE)</f>
        <v>0</v>
      </c>
      <c r="BO25" s="43">
        <f>'Est gen ed 23 $$'!BO25/'Est gen ed 23 pos'!BO$123</f>
        <v>0</v>
      </c>
      <c r="BP25" s="34">
        <f>VLOOKUP($A25,'[1]Init $$'!$B$3:$CG$118,68,FALSE)</f>
        <v>0</v>
      </c>
      <c r="BQ25" s="43">
        <f>'Est gen ed 23 $$'!BQ25/'Est gen ed 23 pos'!BQ$123</f>
        <v>0</v>
      </c>
      <c r="BR25" s="43">
        <f>'Est gen ed 23 $$'!BR25/'Est gen ed 23 pos'!BR$123</f>
        <v>0</v>
      </c>
      <c r="BS25" s="34">
        <f>VLOOKUP($A25,'[1]Init $$'!$B$3:$CG$118,71,FALSE)</f>
        <v>0</v>
      </c>
      <c r="BT25" s="34">
        <f>VLOOKUP($A25,'[1]Init $$'!$B$3:$CG$118,72,FALSE)</f>
        <v>0</v>
      </c>
      <c r="BU25" s="34">
        <f>VLOOKUP($A25,'[1]Init $$'!$B$3:$CG$118,73,FALSE)</f>
        <v>15325</v>
      </c>
      <c r="BV25" s="34">
        <f>VLOOKUP($A25,'[1]Init $$'!$B$3:$CG$118,74,FALSE)</f>
        <v>0</v>
      </c>
      <c r="BW25" s="34">
        <f>VLOOKUP($A25,'[1]Init $$'!$B$3:$CG$118,75,FALSE)</f>
        <v>0</v>
      </c>
      <c r="BX25" s="43">
        <f>'Est gen ed 23 $$'!BX25/'Est gen ed 23 pos'!BX$123</f>
        <v>0</v>
      </c>
      <c r="BY25" s="43">
        <f>'Est gen ed 23 $$'!BY25/'Est gen ed 23 pos'!BY$123</f>
        <v>0</v>
      </c>
      <c r="BZ25" s="43">
        <f>'Est gen ed 23 $$'!BZ25/'Est gen ed 23 pos'!BZ$123</f>
        <v>0</v>
      </c>
      <c r="CA25" s="34">
        <f>VLOOKUP($A25,'[1]Init $$'!$B$3:$CG$118,79,FALSE)</f>
        <v>498945.74</v>
      </c>
      <c r="CB25" s="34">
        <f>VLOOKUP($A25,'[1]Init $$'!$B$3:$CG$118,80,FALSE)</f>
        <v>108469.68</v>
      </c>
      <c r="CC25" s="34">
        <f>VLOOKUP($A25,'[1]Init $$'!$B$3:$CG$118,81,FALSE)</f>
        <v>0</v>
      </c>
      <c r="CD25" s="34">
        <f>VLOOKUP($A25,'[1]Init $$'!$B$3:$CG$118,82,FALSE)</f>
        <v>0</v>
      </c>
      <c r="CE25" s="34">
        <f>VLOOKUP($A25,'[1]Init $$'!$B$3:$CG$118,83,FALSE)</f>
        <v>343961.63</v>
      </c>
      <c r="CF25" s="34">
        <f>VLOOKUP($A25,'[1]Init $$'!$B$3:$CG$118,84,FALSE)</f>
        <v>0</v>
      </c>
      <c r="CJ25" s="28">
        <f t="shared" si="2"/>
        <v>2540672.429998768</v>
      </c>
      <c r="CK25" s="43">
        <f>'Est gen ed 23 $$'!CK25/'Est gen ed 23 pos'!CK$123</f>
        <v>0.99999604682144683</v>
      </c>
      <c r="CL25" s="43">
        <f>'Est gen ed 23 $$'!CL25/'Est gen ed 23 pos'!CL$123</f>
        <v>0</v>
      </c>
      <c r="CM25" s="43">
        <f>'Est gen ed 23 $$'!CM25/'Est gen ed 23 pos'!CM$123</f>
        <v>0.5</v>
      </c>
      <c r="CN25" s="43">
        <f>'Est gen ed 23 $$'!CN25/'Est gen ed 23 pos'!CN$123</f>
        <v>0</v>
      </c>
      <c r="CO25" s="43">
        <f>'Est gen ed 23 $$'!CO25/'Est gen ed 23 pos'!CO$123</f>
        <v>0</v>
      </c>
      <c r="CP25" s="43">
        <f>'Est gen ed 23 $$'!CP25/'Est gen ed 23 pos'!CP$123</f>
        <v>0</v>
      </c>
      <c r="CQ25" s="43">
        <f>'Est gen ed 23 $$'!CQ25/'Est gen ed 23 pos'!CQ$123</f>
        <v>0.99999604682144683</v>
      </c>
      <c r="CR25" s="43">
        <f>'Est gen ed 23 $$'!CR25/'Est gen ed 23 pos'!CR$123</f>
        <v>0.99999604682144683</v>
      </c>
      <c r="CS25" s="43">
        <f>'Est gen ed 23 $$'!CS25/'Est gen ed 23 pos'!CS$123</f>
        <v>1.4999940702321701</v>
      </c>
      <c r="CT25" s="43">
        <f>'Est gen ed 23 $$'!CT25/'Est gen ed 23 pos'!CT$123</f>
        <v>2</v>
      </c>
      <c r="CU25" s="43">
        <f>'Est gen ed 23 $$'!CU25/'Est gen ed 23 pos'!CU$123</f>
        <v>12</v>
      </c>
      <c r="CZ25" s="43">
        <f>'Est gen ed 23 $$'!CW25/'Est gen ed 23 pos'!CZ$123</f>
        <v>0</v>
      </c>
      <c r="DB25" s="28">
        <f t="shared" si="3"/>
        <v>1134870</v>
      </c>
      <c r="DC25" s="28">
        <f t="shared" si="0"/>
        <v>343961.63</v>
      </c>
      <c r="DK25" s="34"/>
      <c r="DL25" s="34"/>
    </row>
    <row r="26" spans="1:116" x14ac:dyDescent="0.2">
      <c r="A26">
        <v>360</v>
      </c>
      <c r="B26" t="s">
        <v>104</v>
      </c>
      <c r="C26" t="s">
        <v>4</v>
      </c>
      <c r="D26">
        <v>6</v>
      </c>
      <c r="E26">
        <f>VLOOKUP($A26,'[1]Init $$'!$B$3:$CG$118,4,FALSE)</f>
        <v>396</v>
      </c>
      <c r="F26">
        <f>VLOOKUP($A26,'[1]Init $$'!$B$3:$CG$118,6,FALSE)</f>
        <v>288</v>
      </c>
      <c r="G26">
        <f>VLOOKUP($A26,'[2]$$xSchpostCouncilxLevel'!$A$4:$EW$120,153,FALSE)</f>
        <v>248</v>
      </c>
      <c r="H26" s="50">
        <f t="shared" si="1"/>
        <v>40</v>
      </c>
      <c r="I26" s="4">
        <f>VLOOKUP($A26,'[1]Init $$'!$B$3:$CG$118,8,FALSE)</f>
        <v>0.1994949494949495</v>
      </c>
      <c r="J26">
        <f>VLOOKUP($A26,'[1]Init $$'!$B$3:$CG$118,7,FALSE)</f>
        <v>79</v>
      </c>
      <c r="K26" s="43">
        <f>'Est gen ed 23 $$'!K26/'Est gen ed 23 pos'!K$123</f>
        <v>1</v>
      </c>
      <c r="L26" s="43">
        <f>'Est gen ed 23 $$'!L26/'Est gen ed 23 pos'!L$123</f>
        <v>0.49999995607579389</v>
      </c>
      <c r="M26" s="43">
        <f>'Est gen ed 23 $$'!M26/'Est gen ed 23 pos'!M$123</f>
        <v>0</v>
      </c>
      <c r="N26" s="43">
        <f>'Est gen ed 23 $$'!N26/'Est gen ed 23 pos'!N$123</f>
        <v>1</v>
      </c>
      <c r="O26" s="34">
        <f>VLOOKUP($A26,'[1]Init $$'!$B$3:$CG$118,15,FALSE)</f>
        <v>7633.55</v>
      </c>
      <c r="P26" s="43">
        <f>'Est gen ed 23 $$'!P26/'Est gen ed 23 pos'!P$123</f>
        <v>1</v>
      </c>
      <c r="Q26" s="43">
        <f>'Est gen ed 23 $$'!Q26/'Est gen ed 23 pos'!Q$123</f>
        <v>1</v>
      </c>
      <c r="R26" s="43">
        <f>'Est gen ed 23 $$'!R26/'Est gen ed 23 pos'!R$123</f>
        <v>3.0000001953611113</v>
      </c>
      <c r="S26" s="43">
        <f>'Est gen ed 23 $$'!S26/'Est gen ed 23 pos'!S$123</f>
        <v>1</v>
      </c>
      <c r="T26" s="43">
        <f>'Est gen ed 23 $$'!T26/'Est gen ed 23 pos'!T$123</f>
        <v>0</v>
      </c>
      <c r="U26" s="43">
        <f>'Est gen ed 23 $$'!U26/'Est gen ed 23 pos'!U$123</f>
        <v>7.9999997364547628</v>
      </c>
      <c r="V26" s="43">
        <f>'Est gen ed 23 $$'!V26/'Est gen ed 23 pos'!V$123</f>
        <v>0</v>
      </c>
      <c r="W26" s="43">
        <f>'Est gen ed 23 $$'!W26/'Est gen ed 23 pos'!W$123</f>
        <v>7.999999234037924</v>
      </c>
      <c r="X26" s="34">
        <f>VLOOKUP($A26,'[1]Init $$'!$B$3:$CG$118,24,FALSE)</f>
        <v>193525.2</v>
      </c>
      <c r="Y26" s="34">
        <f>VLOOKUP($A26,'[1]Init $$'!$B$3:$CG$118,25,FALSE)</f>
        <v>0</v>
      </c>
      <c r="Z26" s="34">
        <f>VLOOKUP($A26,'[1]Init $$'!$B$3:$CG$118,26,FALSE)</f>
        <v>0</v>
      </c>
      <c r="AA26" s="34">
        <f>VLOOKUP($A26,'[1]Init $$'!$B$3:$CG$118,27,FALSE)</f>
        <v>430056</v>
      </c>
      <c r="AB26" s="43">
        <f>'Est gen ed 23 $$'!AB26/'Est gen ed 23 pos'!AB$123</f>
        <v>0</v>
      </c>
      <c r="AC26" s="43">
        <f>'Est gen ed 23 $$'!AC26/'Est gen ed 23 pos'!AC$123</f>
        <v>0</v>
      </c>
      <c r="AD26" s="43">
        <f>'Est gen ed 23 $$'!AD26/'Est gen ed 23 pos'!AD$123</f>
        <v>0</v>
      </c>
      <c r="AE26" s="43">
        <f>'Est gen ed 23 $$'!AE26/'Est gen ed 23 pos'!AE$123</f>
        <v>0</v>
      </c>
      <c r="AF26" s="34">
        <f>VLOOKUP($A26,'[1]Init $$'!$B$3:$CG$118,32,FALSE)</f>
        <v>1720224</v>
      </c>
      <c r="AG26" s="34">
        <f>VLOOKUP($A26,'[1]Init $$'!$B$3:$CG$118,33,FALSE)</f>
        <v>130680</v>
      </c>
      <c r="AH26" s="43">
        <f>'Est gen ed 23 $$'!AH26/'Est gen ed 23 pos'!AH$123</f>
        <v>1</v>
      </c>
      <c r="AI26" s="43">
        <f>'Est gen ed 23 $$'!AI26/'Est gen ed 23 pos'!AI$123</f>
        <v>1</v>
      </c>
      <c r="AJ26" s="43">
        <f>'Est gen ed 23 $$'!AJ26/'Est gen ed 23 pos'!AJ$123</f>
        <v>2.9999999121515879</v>
      </c>
      <c r="AK26" s="43">
        <f>'Est gen ed 23 $$'!AK26/'Est gen ed 23 pos'!AK$123</f>
        <v>0</v>
      </c>
      <c r="AL26" s="43">
        <f>'Est gen ed 23 $$'!AL26/'Est gen ed 23 pos'!AL$123</f>
        <v>0</v>
      </c>
      <c r="AM26" s="43">
        <f>'Est gen ed 23 $$'!AM26/'Est gen ed 23 pos'!AM$123</f>
        <v>0</v>
      </c>
      <c r="AN26" s="43">
        <f>'Est gen ed 23 $$'!AN26/'Est gen ed 23 pos'!AN$123</f>
        <v>0</v>
      </c>
      <c r="AO26" s="43">
        <f>'Est gen ed 23 $$'!AO26/'Est gen ed 23 pos'!AO$123</f>
        <v>0</v>
      </c>
      <c r="AP26" s="34">
        <f>VLOOKUP($A26,'[1]Init $$'!$B$3:$CG$118,42,FALSE)</f>
        <v>77051.7</v>
      </c>
      <c r="AQ26" s="34">
        <f>VLOOKUP($A26,'[1]Init $$'!$B$3:$CG$118,43,FALSE)</f>
        <v>0</v>
      </c>
      <c r="AR26" s="43">
        <f>'Est gen ed 23 $$'!AR26/'Est gen ed 23 pos'!AR$123</f>
        <v>0.49999995607579389</v>
      </c>
      <c r="AS26" s="43">
        <f>'Est gen ed 23 $$'!AS26/'Est gen ed 23 pos'!AS$123</f>
        <v>0</v>
      </c>
      <c r="AT26" s="43">
        <f>'Est gen ed 23 $$'!AT26/'Est gen ed 23 pos'!AT$123</f>
        <v>0</v>
      </c>
      <c r="AU26" s="34">
        <f>VLOOKUP($A26,'[1]Init $$'!$B$3:$CG$118,47,FALSE)</f>
        <v>19710.900000000001</v>
      </c>
      <c r="AV26" s="34">
        <f>VLOOKUP($A26,'[1]Init $$'!$B$3:$CG$118,48,FALSE)</f>
        <v>0</v>
      </c>
      <c r="AW26" s="34">
        <f>VLOOKUP($A26,'[1]Init $$'!$B$3:$CG$118,49,FALSE)</f>
        <v>0</v>
      </c>
      <c r="AX26" s="34">
        <f>VLOOKUP($A26,'[1]Init $$'!$B$3:$CG$118,50,FALSE)</f>
        <v>0</v>
      </c>
      <c r="AY26" s="34">
        <f>VLOOKUP($A26,'[1]Init $$'!$B$3:$CG$118,51,FALSE)</f>
        <v>0</v>
      </c>
      <c r="AZ26" s="34">
        <f>VLOOKUP($A26,'[1]Init $$'!$B$3:$CG$118,52,FALSE)</f>
        <v>0</v>
      </c>
      <c r="BA26" s="34">
        <f>VLOOKUP($A26,'[1]Init $$'!$B$3:$CG$118,53,FALSE)</f>
        <v>0</v>
      </c>
      <c r="BB26" s="34">
        <f>VLOOKUP($A26,'[1]Init $$'!$B$3:$CG$118,54,FALSE)</f>
        <v>0</v>
      </c>
      <c r="BC26" s="34">
        <f>VLOOKUP($A26,'[1]Init $$'!$B$3:$CG$118,55,FALSE)</f>
        <v>0</v>
      </c>
      <c r="BD26" s="34">
        <f>VLOOKUP($A26,'[1]Init $$'!$B$3:$CG$118,56,FALSE)</f>
        <v>0</v>
      </c>
      <c r="BE26" s="34">
        <f>VLOOKUP($A26,'[1]Init $$'!$B$3:$CG$118,57,FALSE)</f>
        <v>9900</v>
      </c>
      <c r="BF26" s="43">
        <f>'Est gen ed 23 $$'!BF26/'Est gen ed 23 pos'!BF$123</f>
        <v>0</v>
      </c>
      <c r="BG26" s="43">
        <f>'Est gen ed 23 $$'!BG26/'Est gen ed 23 pos'!BG$123</f>
        <v>0</v>
      </c>
      <c r="BH26" s="34">
        <f>VLOOKUP($A26,'[1]Init $$'!$B$3:$CG$118,60,FALSE)</f>
        <v>0</v>
      </c>
      <c r="BI26" s="34">
        <f>VLOOKUP($A26,'[1]Init $$'!$B$3:$CG$118,61,FALSE)</f>
        <v>0</v>
      </c>
      <c r="BJ26" s="34">
        <f>VLOOKUP($A26,'[1]Init $$'!$B$3:$CG$118,62,FALSE)</f>
        <v>0</v>
      </c>
      <c r="BK26" s="43">
        <f>'Est gen ed 23 $$'!BK26/'Est gen ed 23 pos'!BK$123</f>
        <v>0</v>
      </c>
      <c r="BL26" s="34">
        <f>VLOOKUP($A26,'[1]Init $$'!$B$3:$CG$118,64,FALSE)</f>
        <v>0</v>
      </c>
      <c r="BM26" s="43">
        <f>'Est gen ed 23 $$'!BM26/'Est gen ed 23 pos'!BM$123</f>
        <v>0</v>
      </c>
      <c r="BN26" s="34">
        <f>VLOOKUP($A26,'[1]Init $$'!$B$3:$CG$118,66,FALSE)</f>
        <v>0</v>
      </c>
      <c r="BO26" s="43">
        <f>'Est gen ed 23 $$'!BO26/'Est gen ed 23 pos'!BO$123</f>
        <v>0</v>
      </c>
      <c r="BP26" s="34">
        <f>VLOOKUP($A26,'[1]Init $$'!$B$3:$CG$118,68,FALSE)</f>
        <v>0</v>
      </c>
      <c r="BQ26" s="43">
        <f>'Est gen ed 23 $$'!BQ26/'Est gen ed 23 pos'!BQ$123</f>
        <v>0</v>
      </c>
      <c r="BR26" s="43">
        <f>'Est gen ed 23 $$'!BR26/'Est gen ed 23 pos'!BR$123</f>
        <v>0</v>
      </c>
      <c r="BS26" s="34">
        <f>VLOOKUP($A26,'[1]Init $$'!$B$3:$CG$118,71,FALSE)</f>
        <v>0</v>
      </c>
      <c r="BT26" s="34">
        <f>VLOOKUP($A26,'[1]Init $$'!$B$3:$CG$118,72,FALSE)</f>
        <v>0</v>
      </c>
      <c r="BU26" s="34">
        <f>VLOOKUP($A26,'[1]Init $$'!$B$3:$CG$118,73,FALSE)</f>
        <v>15325</v>
      </c>
      <c r="BV26" s="34">
        <f>VLOOKUP($A26,'[1]Init $$'!$B$3:$CG$118,74,FALSE)</f>
        <v>0</v>
      </c>
      <c r="BW26" s="34">
        <f>VLOOKUP($A26,'[1]Init $$'!$B$3:$CG$118,75,FALSE)</f>
        <v>0</v>
      </c>
      <c r="BX26" s="43">
        <f>'Est gen ed 23 $$'!BX26/'Est gen ed 23 pos'!BX$123</f>
        <v>0</v>
      </c>
      <c r="BY26" s="43">
        <f>'Est gen ed 23 $$'!BY26/'Est gen ed 23 pos'!BY$123</f>
        <v>0</v>
      </c>
      <c r="BZ26" s="43">
        <f>'Est gen ed 23 $$'!BZ26/'Est gen ed 23 pos'!BZ$123</f>
        <v>0</v>
      </c>
      <c r="CA26" s="34">
        <f>VLOOKUP($A26,'[1]Init $$'!$B$3:$CG$118,79,FALSE)</f>
        <v>211917.82</v>
      </c>
      <c r="CB26" s="34">
        <f>VLOOKUP($A26,'[1]Init $$'!$B$3:$CG$118,80,FALSE)</f>
        <v>0</v>
      </c>
      <c r="CC26" s="34">
        <f>VLOOKUP($A26,'[1]Init $$'!$B$3:$CG$118,81,FALSE)</f>
        <v>190026.03</v>
      </c>
      <c r="CD26" s="34">
        <f>VLOOKUP($A26,'[1]Init $$'!$B$3:$CG$118,82,FALSE)</f>
        <v>69580.41</v>
      </c>
      <c r="CE26" s="34">
        <f>VLOOKUP($A26,'[1]Init $$'!$B$3:$CG$118,83,FALSE)</f>
        <v>0</v>
      </c>
      <c r="CF26" s="34">
        <f>VLOOKUP($A26,'[1]Init $$'!$B$3:$CG$118,84,FALSE)</f>
        <v>0</v>
      </c>
      <c r="CJ26" s="28">
        <f t="shared" si="2"/>
        <v>3075660.6099989899</v>
      </c>
      <c r="CK26" s="43">
        <f>'Est gen ed 23 $$'!CK26/'Est gen ed 23 pos'!CK$123</f>
        <v>0.99999604682144683</v>
      </c>
      <c r="CL26" s="43">
        <f>'Est gen ed 23 $$'!CL26/'Est gen ed 23 pos'!CL$123</f>
        <v>0.99</v>
      </c>
      <c r="CM26" s="43">
        <f>'Est gen ed 23 $$'!CM26/'Est gen ed 23 pos'!CM$123</f>
        <v>1</v>
      </c>
      <c r="CN26" s="43">
        <f>'Est gen ed 23 $$'!CN26/'Est gen ed 23 pos'!CN$123</f>
        <v>0</v>
      </c>
      <c r="CO26" s="43">
        <f>'Est gen ed 23 $$'!CO26/'Est gen ed 23 pos'!CO$123</f>
        <v>0</v>
      </c>
      <c r="CP26" s="43">
        <f>'Est gen ed 23 $$'!CP26/'Est gen ed 23 pos'!CP$123</f>
        <v>0</v>
      </c>
      <c r="CQ26" s="43">
        <f>'Est gen ed 23 $$'!CQ26/'Est gen ed 23 pos'!CQ$123</f>
        <v>1</v>
      </c>
      <c r="CR26" s="43">
        <f>'Est gen ed 23 $$'!CR26/'Est gen ed 23 pos'!CR$123</f>
        <v>1</v>
      </c>
      <c r="CS26" s="43">
        <f>'Est gen ed 23 $$'!CS26/'Est gen ed 23 pos'!CS$123</f>
        <v>1.5</v>
      </c>
      <c r="CT26" s="43">
        <f>'Est gen ed 23 $$'!CT26/'Est gen ed 23 pos'!CT$123</f>
        <v>2</v>
      </c>
      <c r="CU26" s="43">
        <f>'Est gen ed 23 $$'!CU26/'Est gen ed 23 pos'!CU$123</f>
        <v>18</v>
      </c>
      <c r="CZ26" s="43">
        <f>'Est gen ed 23 $$'!CW26/'Est gen ed 23 pos'!CZ$123</f>
        <v>0</v>
      </c>
      <c r="DB26" s="28">
        <f t="shared" si="3"/>
        <v>2150280</v>
      </c>
      <c r="DC26" s="28">
        <f t="shared" si="0"/>
        <v>259606.44</v>
      </c>
      <c r="DK26" s="34"/>
      <c r="DL26" s="34"/>
    </row>
    <row r="27" spans="1:116" x14ac:dyDescent="0.2">
      <c r="A27">
        <v>454</v>
      </c>
      <c r="B27" t="s">
        <v>103</v>
      </c>
      <c r="C27" t="s">
        <v>100</v>
      </c>
      <c r="D27">
        <v>1</v>
      </c>
      <c r="E27">
        <f>VLOOKUP($A27,'[1]Init $$'!$B$3:$CG$118,4,FALSE)</f>
        <v>652</v>
      </c>
      <c r="F27">
        <f>VLOOKUP($A27,'[1]Init $$'!$B$3:$CG$118,6,FALSE)</f>
        <v>652</v>
      </c>
      <c r="G27">
        <f>VLOOKUP($A27,'[2]$$xSchpostCouncilxLevel'!$A$4:$EW$120,153,FALSE)</f>
        <v>640</v>
      </c>
      <c r="H27" s="50">
        <f t="shared" si="1"/>
        <v>12</v>
      </c>
      <c r="I27" s="4">
        <f>VLOOKUP($A27,'[1]Init $$'!$B$3:$CG$118,8,FALSE)</f>
        <v>0.79447852760736193</v>
      </c>
      <c r="J27">
        <f>VLOOKUP($A27,'[1]Init $$'!$B$3:$CG$118,7,FALSE)</f>
        <v>518</v>
      </c>
      <c r="K27" s="43">
        <f>'Est gen ed 23 $$'!K27/'Est gen ed 23 pos'!K$123</f>
        <v>1</v>
      </c>
      <c r="L27" s="43">
        <f>'Est gen ed 23 $$'!L27/'Est gen ed 23 pos'!L$123</f>
        <v>0.49999995607579389</v>
      </c>
      <c r="M27" s="43">
        <f>'Est gen ed 23 $$'!M27/'Est gen ed 23 pos'!M$123</f>
        <v>1.9999989098695736</v>
      </c>
      <c r="N27" s="43">
        <f>'Est gen ed 23 $$'!N27/'Est gen ed 23 pos'!N$123</f>
        <v>1</v>
      </c>
      <c r="O27" s="34">
        <f>VLOOKUP($A27,'[1]Init $$'!$B$3:$CG$118,15,FALSE)</f>
        <v>37854.019999999997</v>
      </c>
      <c r="P27" s="43">
        <f>'Est gen ed 23 $$'!P27/'Est gen ed 23 pos'!P$123</f>
        <v>1</v>
      </c>
      <c r="Q27" s="43">
        <f>'Est gen ed 23 $$'!Q27/'Est gen ed 23 pos'!Q$123</f>
        <v>1</v>
      </c>
      <c r="R27" s="43">
        <f>'Est gen ed 23 $$'!R27/'Est gen ed 23 pos'!R$123</f>
        <v>12.000000976805557</v>
      </c>
      <c r="S27" s="43">
        <f>'Est gen ed 23 $$'!S27/'Est gen ed 23 pos'!S$123</f>
        <v>1</v>
      </c>
      <c r="T27" s="43">
        <f>'Est gen ed 23 $$'!T27/'Est gen ed 23 pos'!T$123</f>
        <v>0</v>
      </c>
      <c r="U27" s="43">
        <f>'Est gen ed 23 $$'!U27/'Est gen ed 23 pos'!U$123</f>
        <v>0</v>
      </c>
      <c r="V27" s="43">
        <f>'Est gen ed 23 $$'!V27/'Est gen ed 23 pos'!V$123</f>
        <v>0</v>
      </c>
      <c r="W27" s="43">
        <f>'Est gen ed 23 $$'!W27/'Est gen ed 23 pos'!W$123</f>
        <v>0</v>
      </c>
      <c r="X27" s="34">
        <f>VLOOKUP($A27,'[1]Init $$'!$B$3:$CG$118,24,FALSE)</f>
        <v>0</v>
      </c>
      <c r="Y27" s="34">
        <f>VLOOKUP($A27,'[1]Init $$'!$B$3:$CG$118,25,FALSE)</f>
        <v>0</v>
      </c>
      <c r="Z27" s="34">
        <f>VLOOKUP($A27,'[1]Init $$'!$B$3:$CG$118,26,FALSE)</f>
        <v>0</v>
      </c>
      <c r="AA27" s="34">
        <f>VLOOKUP($A27,'[1]Init $$'!$B$3:$CG$118,27,FALSE)</f>
        <v>0</v>
      </c>
      <c r="AB27" s="43">
        <f>'Est gen ed 23 $$'!AB27/'Est gen ed 23 pos'!AB$123</f>
        <v>2.9999999121515879</v>
      </c>
      <c r="AC27" s="43">
        <f>'Est gen ed 23 $$'!AC27/'Est gen ed 23 pos'!AC$123</f>
        <v>0</v>
      </c>
      <c r="AD27" s="43">
        <f>'Est gen ed 23 $$'!AD27/'Est gen ed 23 pos'!AD$123</f>
        <v>0</v>
      </c>
      <c r="AE27" s="43">
        <f>'Est gen ed 23 $$'!AE27/'Est gen ed 23 pos'!AE$123</f>
        <v>1.9999999121515879</v>
      </c>
      <c r="AF27" s="34">
        <f>VLOOKUP($A27,'[1]Init $$'!$B$3:$CG$118,32,FALSE)</f>
        <v>3894396</v>
      </c>
      <c r="AG27" s="34">
        <f>VLOOKUP($A27,'[1]Init $$'!$B$3:$CG$118,33,FALSE)</f>
        <v>386636</v>
      </c>
      <c r="AH27" s="43">
        <f>'Est gen ed 23 $$'!AH27/'Est gen ed 23 pos'!AH$123</f>
        <v>1.9999999121515879</v>
      </c>
      <c r="AI27" s="43">
        <f>'Est gen ed 23 $$'!AI27/'Est gen ed 23 pos'!AI$123</f>
        <v>6.9999997364547637</v>
      </c>
      <c r="AJ27" s="43">
        <f>'Est gen ed 23 $$'!AJ27/'Est gen ed 23 pos'!AJ$123</f>
        <v>10.99999964860635</v>
      </c>
      <c r="AK27" s="43">
        <f>'Est gen ed 23 $$'!AK27/'Est gen ed 23 pos'!AK$123</f>
        <v>10.99999964860635</v>
      </c>
      <c r="AL27" s="43">
        <f>'Est gen ed 23 $$'!AL27/'Est gen ed 23 pos'!AL$123</f>
        <v>12.999998978717233</v>
      </c>
      <c r="AM27" s="43">
        <f>'Est gen ed 23 $$'!AM27/'Est gen ed 23 pos'!AM$123</f>
        <v>0</v>
      </c>
      <c r="AN27" s="43">
        <f>'Est gen ed 23 $$'!AN27/'Est gen ed 23 pos'!AN$123</f>
        <v>3.0000029535425137</v>
      </c>
      <c r="AO27" s="43">
        <f>'Est gen ed 23 $$'!AO27/'Est gen ed 23 pos'!AO$123</f>
        <v>0</v>
      </c>
      <c r="AP27" s="34">
        <f>VLOOKUP($A27,'[1]Init $$'!$B$3:$CG$118,42,FALSE)</f>
        <v>344044.79999999999</v>
      </c>
      <c r="AQ27" s="34">
        <f>VLOOKUP($A27,'[1]Init $$'!$B$3:$CG$118,43,FALSE)</f>
        <v>0</v>
      </c>
      <c r="AR27" s="43">
        <f>'Est gen ed 23 $$'!AR27/'Est gen ed 23 pos'!AR$123</f>
        <v>13.999999560757939</v>
      </c>
      <c r="AS27" s="43">
        <f>'Est gen ed 23 $$'!AS27/'Est gen ed 23 pos'!AS$123</f>
        <v>0</v>
      </c>
      <c r="AT27" s="43">
        <f>'Est gen ed 23 $$'!AT27/'Est gen ed 23 pos'!AT$123</f>
        <v>1.9999997446793083</v>
      </c>
      <c r="AU27" s="34">
        <f>VLOOKUP($A27,'[1]Init $$'!$B$3:$CG$118,47,FALSE)</f>
        <v>537570</v>
      </c>
      <c r="AV27" s="34">
        <f>VLOOKUP($A27,'[1]Init $$'!$B$3:$CG$118,48,FALSE)</f>
        <v>0</v>
      </c>
      <c r="AW27" s="34">
        <f>VLOOKUP($A27,'[1]Init $$'!$B$3:$CG$118,49,FALSE)</f>
        <v>0</v>
      </c>
      <c r="AX27" s="34">
        <f>VLOOKUP($A27,'[1]Init $$'!$B$3:$CG$118,50,FALSE)</f>
        <v>0</v>
      </c>
      <c r="AY27" s="34">
        <f>VLOOKUP($A27,'[1]Init $$'!$B$3:$CG$118,51,FALSE)</f>
        <v>65000</v>
      </c>
      <c r="AZ27" s="34">
        <f>VLOOKUP($A27,'[1]Init $$'!$B$3:$CG$118,52,FALSE)</f>
        <v>0</v>
      </c>
      <c r="BA27" s="34">
        <f>VLOOKUP($A27,'[1]Init $$'!$B$3:$CG$118,53,FALSE)</f>
        <v>0</v>
      </c>
      <c r="BB27" s="34">
        <f>VLOOKUP($A27,'[1]Init $$'!$B$3:$CG$118,54,FALSE)</f>
        <v>0</v>
      </c>
      <c r="BC27" s="34">
        <f>VLOOKUP($A27,'[1]Init $$'!$B$3:$CG$118,55,FALSE)</f>
        <v>239851.5</v>
      </c>
      <c r="BD27" s="34">
        <f>VLOOKUP($A27,'[1]Init $$'!$B$3:$CG$118,56,FALSE)</f>
        <v>3863.42</v>
      </c>
      <c r="BE27" s="34">
        <f>VLOOKUP($A27,'[1]Init $$'!$B$3:$CG$118,57,FALSE)</f>
        <v>0</v>
      </c>
      <c r="BF27" s="43">
        <f>'Est gen ed 23 $$'!BF27/'Est gen ed 23 pos'!BF$123</f>
        <v>0</v>
      </c>
      <c r="BG27" s="43">
        <f>'Est gen ed 23 $$'!BG27/'Est gen ed 23 pos'!BG$123</f>
        <v>0.99999886478304745</v>
      </c>
      <c r="BH27" s="34">
        <f>VLOOKUP($A27,'[1]Init $$'!$B$3:$CG$118,60,FALSE)</f>
        <v>14216.09</v>
      </c>
      <c r="BI27" s="34">
        <f>VLOOKUP($A27,'[1]Init $$'!$B$3:$CG$118,61,FALSE)</f>
        <v>11000</v>
      </c>
      <c r="BJ27" s="34">
        <f>VLOOKUP($A27,'[1]Init $$'!$B$3:$CG$118,62,FALSE)</f>
        <v>34000</v>
      </c>
      <c r="BK27" s="43">
        <f>'Est gen ed 23 $$'!BK27/'Est gen ed 23 pos'!BK$123</f>
        <v>0</v>
      </c>
      <c r="BL27" s="34">
        <f>VLOOKUP($A27,'[1]Init $$'!$B$3:$CG$118,64,FALSE)</f>
        <v>0</v>
      </c>
      <c r="BM27" s="43">
        <f>'Est gen ed 23 $$'!BM27/'Est gen ed 23 pos'!BM$123</f>
        <v>0</v>
      </c>
      <c r="BN27" s="34">
        <f>VLOOKUP($A27,'[1]Init $$'!$B$3:$CG$118,66,FALSE)</f>
        <v>0</v>
      </c>
      <c r="BO27" s="43">
        <f>'Est gen ed 23 $$'!BO27/'Est gen ed 23 pos'!BO$123</f>
        <v>0</v>
      </c>
      <c r="BP27" s="34">
        <f>VLOOKUP($A27,'[1]Init $$'!$B$3:$CG$118,68,FALSE)</f>
        <v>0</v>
      </c>
      <c r="BQ27" s="43">
        <f>'Est gen ed 23 $$'!BQ27/'Est gen ed 23 pos'!BQ$123</f>
        <v>1</v>
      </c>
      <c r="BR27" s="43">
        <f>'Est gen ed 23 $$'!BR27/'Est gen ed 23 pos'!BR$123</f>
        <v>0</v>
      </c>
      <c r="BS27" s="34">
        <f>VLOOKUP($A27,'[1]Init $$'!$B$3:$CG$118,71,FALSE)</f>
        <v>140941</v>
      </c>
      <c r="BT27" s="34">
        <f>VLOOKUP($A27,'[1]Init $$'!$B$3:$CG$118,72,FALSE)</f>
        <v>5000</v>
      </c>
      <c r="BU27" s="34">
        <f>VLOOKUP($A27,'[1]Init $$'!$B$3:$CG$118,73,FALSE)</f>
        <v>0</v>
      </c>
      <c r="BV27" s="34">
        <f>VLOOKUP($A27,'[1]Init $$'!$B$3:$CG$118,74,FALSE)</f>
        <v>0</v>
      </c>
      <c r="BW27" s="34">
        <f>VLOOKUP($A27,'[1]Init $$'!$B$3:$CG$118,75,FALSE)</f>
        <v>110842</v>
      </c>
      <c r="BX27" s="43">
        <f>'Est gen ed 23 $$'!BX27/'Est gen ed 23 pos'!BX$123</f>
        <v>1.0000041250219776</v>
      </c>
      <c r="BY27" s="43">
        <f>'Est gen ed 23 $$'!BY27/'Est gen ed 23 pos'!BY$123</f>
        <v>0</v>
      </c>
      <c r="BZ27" s="43">
        <f>'Est gen ed 23 $$'!BZ27/'Est gen ed 23 pos'!BZ$123</f>
        <v>0</v>
      </c>
      <c r="CA27" s="34">
        <f>VLOOKUP($A27,'[1]Init $$'!$B$3:$CG$118,79,FALSE)</f>
        <v>1519638.52</v>
      </c>
      <c r="CB27" s="34">
        <f>VLOOKUP($A27,'[1]Init $$'!$B$3:$CG$118,80,FALSE)</f>
        <v>380838.48</v>
      </c>
      <c r="CC27" s="34">
        <f>VLOOKUP($A27,'[1]Init $$'!$B$3:$CG$118,81,FALSE)</f>
        <v>0</v>
      </c>
      <c r="CD27" s="34">
        <f>VLOOKUP($A27,'[1]Init $$'!$B$3:$CG$118,82,FALSE)</f>
        <v>0</v>
      </c>
      <c r="CE27" s="34">
        <f>VLOOKUP($A27,'[1]Init $$'!$B$3:$CG$118,83,FALSE)</f>
        <v>0</v>
      </c>
      <c r="CF27" s="34">
        <f>VLOOKUP($A27,'[1]Init $$'!$B$3:$CG$118,84,FALSE)</f>
        <v>0</v>
      </c>
      <c r="CJ27" s="28">
        <f t="shared" si="2"/>
        <v>7725782.3300028406</v>
      </c>
      <c r="CK27" s="43">
        <f>'Est gen ed 23 $$'!CK27/'Est gen ed 23 pos'!CK$123</f>
        <v>0.99999604682144683</v>
      </c>
      <c r="CL27" s="43">
        <f>'Est gen ed 23 $$'!CL27/'Est gen ed 23 pos'!CL$123</f>
        <v>2.1733333333333333</v>
      </c>
      <c r="CM27" s="43">
        <f>'Est gen ed 23 $$'!CM27/'Est gen ed 23 pos'!CM$123</f>
        <v>1</v>
      </c>
      <c r="CN27" s="43">
        <f>'Est gen ed 23 $$'!CN27/'Est gen ed 23 pos'!CN$123</f>
        <v>0.61349693251533743</v>
      </c>
      <c r="CO27" s="43">
        <f>'Est gen ed 23 $$'!CO27/'Est gen ed 23 pos'!CO$123</f>
        <v>1</v>
      </c>
      <c r="CP27" s="43">
        <f>'Est gen ed 23 $$'!CP27/'Est gen ed 23 pos'!CP$123</f>
        <v>1</v>
      </c>
      <c r="CQ27" s="43">
        <f>'Est gen ed 23 $$'!CQ27/'Est gen ed 23 pos'!CQ$123</f>
        <v>0</v>
      </c>
      <c r="CR27" s="43">
        <f>'Est gen ed 23 $$'!CR27/'Est gen ed 23 pos'!CR$123</f>
        <v>0</v>
      </c>
      <c r="CS27" s="43">
        <f>'Est gen ed 23 $$'!CS27/'Est gen ed 23 pos'!CS$123</f>
        <v>0</v>
      </c>
      <c r="CT27" s="43">
        <f>'Est gen ed 23 $$'!CT27/'Est gen ed 23 pos'!CT$123</f>
        <v>0</v>
      </c>
      <c r="CU27" s="43">
        <f>'Est gen ed 23 $$'!CU27/'Est gen ed 23 pos'!CU$123</f>
        <v>36.999999999999993</v>
      </c>
      <c r="CZ27" s="43">
        <f>'Est gen ed 23 $$'!CW27/'Est gen ed 23 pos'!CZ$123</f>
        <v>0.9999965685612755</v>
      </c>
      <c r="DB27" s="28">
        <f t="shared" si="3"/>
        <v>3894396</v>
      </c>
      <c r="DC27" s="28">
        <f t="shared" si="0"/>
        <v>0</v>
      </c>
      <c r="DK27" s="34"/>
      <c r="DL27" s="34"/>
    </row>
    <row r="28" spans="1:116" x14ac:dyDescent="0.2">
      <c r="A28">
        <v>224</v>
      </c>
      <c r="B28" t="s">
        <v>102</v>
      </c>
      <c r="C28" t="s">
        <v>7</v>
      </c>
      <c r="D28">
        <v>1</v>
      </c>
      <c r="E28">
        <f>VLOOKUP($A28,'[1]Init $$'!$B$3:$CG$118,4,FALSE)</f>
        <v>277</v>
      </c>
      <c r="F28">
        <f>VLOOKUP($A28,'[1]Init $$'!$B$3:$CG$118,6,FALSE)</f>
        <v>206</v>
      </c>
      <c r="G28">
        <f>VLOOKUP($A28,'[2]$$xSchpostCouncilxLevel'!$A$4:$EW$120,153,FALSE)</f>
        <v>225</v>
      </c>
      <c r="H28" s="50">
        <f t="shared" si="1"/>
        <v>-19</v>
      </c>
      <c r="I28" s="4">
        <f>VLOOKUP($A28,'[1]Init $$'!$B$3:$CG$118,8,FALSE)</f>
        <v>0.46570397111913359</v>
      </c>
      <c r="J28">
        <f>VLOOKUP($A28,'[1]Init $$'!$B$3:$CG$118,7,FALSE)</f>
        <v>129</v>
      </c>
      <c r="K28" s="43">
        <f>'Est gen ed 23 $$'!K28/'Est gen ed 23 pos'!K$123</f>
        <v>1</v>
      </c>
      <c r="L28" s="43">
        <f>'Est gen ed 23 $$'!L28/'Est gen ed 23 pos'!L$123</f>
        <v>0</v>
      </c>
      <c r="M28" s="43">
        <f>'Est gen ed 23 $$'!M28/'Est gen ed 23 pos'!M$123</f>
        <v>0</v>
      </c>
      <c r="N28" s="43">
        <f>'Est gen ed 23 $$'!N28/'Est gen ed 23 pos'!N$123</f>
        <v>1</v>
      </c>
      <c r="O28" s="34">
        <f>VLOOKUP($A28,'[1]Init $$'!$B$3:$CG$118,15,FALSE)</f>
        <v>4892.45</v>
      </c>
      <c r="P28" s="43">
        <f>'Est gen ed 23 $$'!P28/'Est gen ed 23 pos'!P$123</f>
        <v>1</v>
      </c>
      <c r="Q28" s="43">
        <f>'Est gen ed 23 $$'!Q28/'Est gen ed 23 pos'!Q$123</f>
        <v>1</v>
      </c>
      <c r="R28" s="43">
        <f>'Est gen ed 23 $$'!R28/'Est gen ed 23 pos'!R$123</f>
        <v>1</v>
      </c>
      <c r="S28" s="43">
        <f>'Est gen ed 23 $$'!S28/'Est gen ed 23 pos'!S$123</f>
        <v>1</v>
      </c>
      <c r="T28" s="43">
        <f>'Est gen ed 23 $$'!T28/'Est gen ed 23 pos'!T$123</f>
        <v>1.9999999121515879</v>
      </c>
      <c r="U28" s="43">
        <f>'Est gen ed 23 $$'!U28/'Est gen ed 23 pos'!U$123</f>
        <v>1</v>
      </c>
      <c r="V28" s="43">
        <f>'Est gen ed 23 $$'!V28/'Est gen ed 23 pos'!V$123</f>
        <v>1.9999999121515879</v>
      </c>
      <c r="W28" s="43">
        <f>'Est gen ed 23 $$'!W28/'Est gen ed 23 pos'!W$123</f>
        <v>4.9999994893586166</v>
      </c>
      <c r="X28" s="34">
        <f>VLOOKUP($A28,'[1]Init $$'!$B$3:$CG$118,24,FALSE)</f>
        <v>127224.9</v>
      </c>
      <c r="Y28" s="34">
        <f>VLOOKUP($A28,'[1]Init $$'!$B$3:$CG$118,25,FALSE)</f>
        <v>0</v>
      </c>
      <c r="Z28" s="34">
        <f>VLOOKUP($A28,'[1]Init $$'!$B$3:$CG$118,26,FALSE)</f>
        <v>0</v>
      </c>
      <c r="AA28" s="34">
        <f>VLOOKUP($A28,'[1]Init $$'!$B$3:$CG$118,27,FALSE)</f>
        <v>0</v>
      </c>
      <c r="AB28" s="43">
        <f>'Est gen ed 23 $$'!AB28/'Est gen ed 23 pos'!AB$123</f>
        <v>0</v>
      </c>
      <c r="AC28" s="43">
        <f>'Est gen ed 23 $$'!AC28/'Est gen ed 23 pos'!AC$123</f>
        <v>0</v>
      </c>
      <c r="AD28" s="43">
        <f>'Est gen ed 23 $$'!AD28/'Est gen ed 23 pos'!AD$123</f>
        <v>0</v>
      </c>
      <c r="AE28" s="43">
        <f>'Est gen ed 23 $$'!AE28/'Est gen ed 23 pos'!AE$123</f>
        <v>0</v>
      </c>
      <c r="AF28" s="34">
        <f>VLOOKUP($A28,'[1]Init $$'!$B$3:$CG$118,32,FALSE)</f>
        <v>1230438</v>
      </c>
      <c r="AG28" s="34">
        <f>VLOOKUP($A28,'[1]Init $$'!$B$3:$CG$118,33,FALSE)</f>
        <v>90025</v>
      </c>
      <c r="AH28" s="43">
        <f>'Est gen ed 23 $$'!AH28/'Est gen ed 23 pos'!AH$123</f>
        <v>1</v>
      </c>
      <c r="AI28" s="43">
        <f>'Est gen ed 23 $$'!AI28/'Est gen ed 23 pos'!AI$123</f>
        <v>1.9999999121515879</v>
      </c>
      <c r="AJ28" s="43">
        <f>'Est gen ed 23 $$'!AJ28/'Est gen ed 23 pos'!AJ$123</f>
        <v>1.9999999121515879</v>
      </c>
      <c r="AK28" s="43">
        <f>'Est gen ed 23 $$'!AK28/'Est gen ed 23 pos'!AK$123</f>
        <v>2.9999999121515879</v>
      </c>
      <c r="AL28" s="43">
        <f>'Est gen ed 23 $$'!AL28/'Est gen ed 23 pos'!AL$123</f>
        <v>3.9999997446793079</v>
      </c>
      <c r="AM28" s="43">
        <f>'Est gen ed 23 $$'!AM28/'Est gen ed 23 pos'!AM$123</f>
        <v>0</v>
      </c>
      <c r="AN28" s="43">
        <f>'Est gen ed 23 $$'!AN28/'Est gen ed 23 pos'!AN$123</f>
        <v>0</v>
      </c>
      <c r="AO28" s="43">
        <f>'Est gen ed 23 $$'!AO28/'Est gen ed 23 pos'!AO$123</f>
        <v>0</v>
      </c>
      <c r="AP28" s="34">
        <f>VLOOKUP($A28,'[1]Init $$'!$B$3:$CG$118,42,FALSE)</f>
        <v>53757</v>
      </c>
      <c r="AQ28" s="34">
        <f>VLOOKUP($A28,'[1]Init $$'!$B$3:$CG$118,43,FALSE)</f>
        <v>0</v>
      </c>
      <c r="AR28" s="43">
        <f>'Est gen ed 23 $$'!AR28/'Est gen ed 23 pos'!AR$123</f>
        <v>4.9999998243031758</v>
      </c>
      <c r="AS28" s="43">
        <f>'Est gen ed 23 $$'!AS28/'Est gen ed 23 pos'!AS$123</f>
        <v>0</v>
      </c>
      <c r="AT28" s="43">
        <f>'Est gen ed 23 $$'!AT28/'Est gen ed 23 pos'!AT$123</f>
        <v>0</v>
      </c>
      <c r="AU28" s="34">
        <f>VLOOKUP($A28,'[1]Init $$'!$B$3:$CG$118,47,FALSE)</f>
        <v>179190</v>
      </c>
      <c r="AV28" s="34">
        <f>VLOOKUP($A28,'[1]Init $$'!$B$3:$CG$118,48,FALSE)</f>
        <v>27200</v>
      </c>
      <c r="AW28" s="34">
        <f>VLOOKUP($A28,'[1]Init $$'!$B$3:$CG$118,49,FALSE)</f>
        <v>27200</v>
      </c>
      <c r="AX28" s="34">
        <f>VLOOKUP($A28,'[1]Init $$'!$B$3:$CG$118,50,FALSE)</f>
        <v>10200</v>
      </c>
      <c r="AY28" s="34">
        <f>VLOOKUP($A28,'[1]Init $$'!$B$3:$CG$118,51,FALSE)</f>
        <v>0</v>
      </c>
      <c r="AZ28" s="34">
        <f>VLOOKUP($A28,'[1]Init $$'!$B$3:$CG$118,52,FALSE)</f>
        <v>20400</v>
      </c>
      <c r="BA28" s="34">
        <f>VLOOKUP($A28,'[1]Init $$'!$B$3:$CG$118,53,FALSE)</f>
        <v>0</v>
      </c>
      <c r="BB28" s="34">
        <f>VLOOKUP($A28,'[1]Init $$'!$B$3:$CG$118,54,FALSE)</f>
        <v>20400</v>
      </c>
      <c r="BC28" s="34">
        <f>VLOOKUP($A28,'[1]Init $$'!$B$3:$CG$118,55,FALSE)</f>
        <v>109968.02</v>
      </c>
      <c r="BD28" s="34">
        <f>VLOOKUP($A28,'[1]Init $$'!$B$3:$CG$118,56,FALSE)</f>
        <v>1771.31</v>
      </c>
      <c r="BE28" s="34">
        <f>VLOOKUP($A28,'[1]Init $$'!$B$3:$CG$118,57,FALSE)</f>
        <v>0</v>
      </c>
      <c r="BF28" s="43">
        <f>'Est gen ed 23 $$'!BF28/'Est gen ed 23 pos'!BF$123</f>
        <v>0</v>
      </c>
      <c r="BG28" s="43">
        <f>'Est gen ed 23 $$'!BG28/'Est gen ed 23 pos'!BG$123</f>
        <v>0</v>
      </c>
      <c r="BH28" s="34">
        <f>VLOOKUP($A28,'[1]Init $$'!$B$3:$CG$118,60,FALSE)</f>
        <v>0</v>
      </c>
      <c r="BI28" s="34">
        <f>VLOOKUP($A28,'[1]Init $$'!$B$3:$CG$118,61,FALSE)</f>
        <v>0</v>
      </c>
      <c r="BJ28" s="34">
        <f>VLOOKUP($A28,'[1]Init $$'!$B$3:$CG$118,62,FALSE)</f>
        <v>0</v>
      </c>
      <c r="BK28" s="43">
        <f>'Est gen ed 23 $$'!BK28/'Est gen ed 23 pos'!BK$123</f>
        <v>0</v>
      </c>
      <c r="BL28" s="34">
        <f>VLOOKUP($A28,'[1]Init $$'!$B$3:$CG$118,64,FALSE)</f>
        <v>0</v>
      </c>
      <c r="BM28" s="43">
        <f>'Est gen ed 23 $$'!BM28/'Est gen ed 23 pos'!BM$123</f>
        <v>0</v>
      </c>
      <c r="BN28" s="34">
        <f>VLOOKUP($A28,'[1]Init $$'!$B$3:$CG$118,66,FALSE)</f>
        <v>0</v>
      </c>
      <c r="BO28" s="43">
        <f>'Est gen ed 23 $$'!BO28/'Est gen ed 23 pos'!BO$123</f>
        <v>0</v>
      </c>
      <c r="BP28" s="34">
        <f>VLOOKUP($A28,'[1]Init $$'!$B$3:$CG$118,68,FALSE)</f>
        <v>29400</v>
      </c>
      <c r="BQ28" s="43">
        <f>'Est gen ed 23 $$'!BQ28/'Est gen ed 23 pos'!BQ$123</f>
        <v>0</v>
      </c>
      <c r="BR28" s="43">
        <f>'Est gen ed 23 $$'!BR28/'Est gen ed 23 pos'!BR$123</f>
        <v>0</v>
      </c>
      <c r="BS28" s="34">
        <f>VLOOKUP($A28,'[1]Init $$'!$B$3:$CG$118,71,FALSE)</f>
        <v>0</v>
      </c>
      <c r="BT28" s="34">
        <f>VLOOKUP($A28,'[1]Init $$'!$B$3:$CG$118,72,FALSE)</f>
        <v>0</v>
      </c>
      <c r="BU28" s="34">
        <f>VLOOKUP($A28,'[1]Init $$'!$B$3:$CG$118,73,FALSE)</f>
        <v>15325</v>
      </c>
      <c r="BV28" s="34">
        <f>VLOOKUP($A28,'[1]Init $$'!$B$3:$CG$118,74,FALSE)</f>
        <v>0</v>
      </c>
      <c r="BW28" s="34">
        <f>VLOOKUP($A28,'[1]Init $$'!$B$3:$CG$118,75,FALSE)</f>
        <v>0</v>
      </c>
      <c r="BX28" s="43">
        <f>'Est gen ed 23 $$'!BX28/'Est gen ed 23 pos'!BX$123</f>
        <v>0</v>
      </c>
      <c r="BY28" s="43">
        <f>'Est gen ed 23 $$'!BY28/'Est gen ed 23 pos'!BY$123</f>
        <v>0</v>
      </c>
      <c r="BZ28" s="43">
        <f>'Est gen ed 23 $$'!BZ28/'Est gen ed 23 pos'!BZ$123</f>
        <v>0</v>
      </c>
      <c r="CA28" s="34">
        <f>VLOOKUP($A28,'[1]Init $$'!$B$3:$CG$118,79,FALSE)</f>
        <v>346043.02</v>
      </c>
      <c r="CB28" s="34">
        <f>VLOOKUP($A28,'[1]Init $$'!$B$3:$CG$118,80,FALSE)</f>
        <v>21741.72</v>
      </c>
      <c r="CC28" s="34">
        <f>VLOOKUP($A28,'[1]Init $$'!$B$3:$CG$118,81,FALSE)</f>
        <v>0</v>
      </c>
      <c r="CD28" s="34">
        <f>VLOOKUP($A28,'[1]Init $$'!$B$3:$CG$118,82,FALSE)</f>
        <v>0</v>
      </c>
      <c r="CE28" s="34">
        <f>VLOOKUP($A28,'[1]Init $$'!$B$3:$CG$118,83,FALSE)</f>
        <v>262596.44</v>
      </c>
      <c r="CF28" s="34">
        <f>VLOOKUP($A28,'[1]Init $$'!$B$3:$CG$118,84,FALSE)</f>
        <v>0</v>
      </c>
      <c r="CJ28" s="28">
        <f t="shared" si="2"/>
        <v>2577805.8599986192</v>
      </c>
      <c r="CK28" s="43">
        <f>'Est gen ed 23 $$'!CK28/'Est gen ed 23 pos'!CK$123</f>
        <v>0.99999604682144683</v>
      </c>
      <c r="CL28" s="43">
        <f>'Est gen ed 23 $$'!CL28/'Est gen ed 23 pos'!CL$123</f>
        <v>0</v>
      </c>
      <c r="CM28" s="43">
        <f>'Est gen ed 23 $$'!CM28/'Est gen ed 23 pos'!CM$123</f>
        <v>0.5</v>
      </c>
      <c r="CN28" s="43">
        <f>'Est gen ed 23 $$'!CN28/'Est gen ed 23 pos'!CN$123</f>
        <v>0</v>
      </c>
      <c r="CO28" s="43">
        <f>'Est gen ed 23 $$'!CO28/'Est gen ed 23 pos'!CO$123</f>
        <v>0</v>
      </c>
      <c r="CP28" s="43">
        <f>'Est gen ed 23 $$'!CP28/'Est gen ed 23 pos'!CP$123</f>
        <v>0</v>
      </c>
      <c r="CQ28" s="43">
        <f>'Est gen ed 23 $$'!CQ28/'Est gen ed 23 pos'!CQ$123</f>
        <v>0.99999604682144683</v>
      </c>
      <c r="CR28" s="43">
        <f>'Est gen ed 23 $$'!CR28/'Est gen ed 23 pos'!CR$123</f>
        <v>0.99999604682144683</v>
      </c>
      <c r="CS28" s="43">
        <f>'Est gen ed 23 $$'!CS28/'Est gen ed 23 pos'!CS$123</f>
        <v>1.4999940702321701</v>
      </c>
      <c r="CT28" s="43">
        <f>'Est gen ed 23 $$'!CT28/'Est gen ed 23 pos'!CT$123</f>
        <v>2</v>
      </c>
      <c r="CU28" s="43">
        <f>'Est gen ed 23 $$'!CU28/'Est gen ed 23 pos'!CU$123</f>
        <v>12.999999999999998</v>
      </c>
      <c r="CZ28" s="43">
        <f>'Est gen ed 23 $$'!CW28/'Est gen ed 23 pos'!CZ$123</f>
        <v>0</v>
      </c>
      <c r="DB28" s="28">
        <f t="shared" si="3"/>
        <v>1230438</v>
      </c>
      <c r="DC28" s="28">
        <f t="shared" si="0"/>
        <v>262596.44</v>
      </c>
      <c r="DK28" s="34"/>
      <c r="DL28" s="34"/>
    </row>
    <row r="29" spans="1:116" x14ac:dyDescent="0.2">
      <c r="A29">
        <v>442</v>
      </c>
      <c r="B29" t="s">
        <v>101</v>
      </c>
      <c r="C29" t="s">
        <v>100</v>
      </c>
      <c r="D29">
        <v>1</v>
      </c>
      <c r="E29">
        <f>VLOOKUP($A29,'[1]Init $$'!$B$3:$CG$118,4,FALSE)</f>
        <v>1562</v>
      </c>
      <c r="F29">
        <f>VLOOKUP($A29,'[1]Init $$'!$B$3:$CG$118,6,FALSE)</f>
        <v>1562</v>
      </c>
      <c r="G29">
        <f>VLOOKUP($A29,'[2]$$xSchpostCouncilxLevel'!$A$4:$EW$120,153,FALSE)</f>
        <v>1500</v>
      </c>
      <c r="H29" s="50">
        <f t="shared" si="1"/>
        <v>62</v>
      </c>
      <c r="I29" s="4">
        <f>VLOOKUP($A29,'[1]Init $$'!$B$3:$CG$118,8,FALSE)</f>
        <v>0.55377720870678615</v>
      </c>
      <c r="J29">
        <f>VLOOKUP($A29,'[1]Init $$'!$B$3:$CG$118,7,FALSE)</f>
        <v>865</v>
      </c>
      <c r="K29" s="43">
        <f>'Est gen ed 23 $$'!K29/'Est gen ed 23 pos'!K$123</f>
        <v>1</v>
      </c>
      <c r="L29" s="43">
        <f>'Est gen ed 23 $$'!L29/'Est gen ed 23 pos'!L$123</f>
        <v>1.4999999560757939</v>
      </c>
      <c r="M29" s="43">
        <f>'Est gen ed 23 $$'!M29/'Est gen ed 23 pos'!M$123</f>
        <v>4.4999975861397701</v>
      </c>
      <c r="N29" s="43">
        <f>'Est gen ed 23 $$'!N29/'Est gen ed 23 pos'!N$123</f>
        <v>1</v>
      </c>
      <c r="O29" s="34">
        <f>VLOOKUP($A29,'[1]Init $$'!$B$3:$CG$118,15,FALSE)</f>
        <v>23156.959999999999</v>
      </c>
      <c r="P29" s="43">
        <f>'Est gen ed 23 $$'!P29/'Est gen ed 23 pos'!P$123</f>
        <v>1</v>
      </c>
      <c r="Q29" s="43">
        <f>'Est gen ed 23 $$'!Q29/'Est gen ed 23 pos'!Q$123</f>
        <v>1</v>
      </c>
      <c r="R29" s="43">
        <f>'Est gen ed 23 $$'!R29/'Est gen ed 23 pos'!R$123</f>
        <v>9.0000007814444452</v>
      </c>
      <c r="S29" s="43">
        <f>'Est gen ed 23 $$'!S29/'Est gen ed 23 pos'!S$123</f>
        <v>1.9999999121515879</v>
      </c>
      <c r="T29" s="43">
        <f>'Est gen ed 23 $$'!T29/'Est gen ed 23 pos'!T$123</f>
        <v>0</v>
      </c>
      <c r="U29" s="43">
        <f>'Est gen ed 23 $$'!U29/'Est gen ed 23 pos'!U$123</f>
        <v>0</v>
      </c>
      <c r="V29" s="43">
        <f>'Est gen ed 23 $$'!V29/'Est gen ed 23 pos'!V$123</f>
        <v>0</v>
      </c>
      <c r="W29" s="43">
        <f>'Est gen ed 23 $$'!W29/'Est gen ed 23 pos'!W$123</f>
        <v>0</v>
      </c>
      <c r="X29" s="34">
        <f>VLOOKUP($A29,'[1]Init $$'!$B$3:$CG$118,24,FALSE)</f>
        <v>0</v>
      </c>
      <c r="Y29" s="34">
        <f>VLOOKUP($A29,'[1]Init $$'!$B$3:$CG$118,25,FALSE)</f>
        <v>0</v>
      </c>
      <c r="Z29" s="34">
        <f>VLOOKUP($A29,'[1]Init $$'!$B$3:$CG$118,26,FALSE)</f>
        <v>0</v>
      </c>
      <c r="AA29" s="34">
        <f>VLOOKUP($A29,'[1]Init $$'!$B$3:$CG$118,27,FALSE)</f>
        <v>0</v>
      </c>
      <c r="AB29" s="43">
        <f>'Est gen ed 23 $$'!AB29/'Est gen ed 23 pos'!AB$123</f>
        <v>5.9999998243031758</v>
      </c>
      <c r="AC29" s="43">
        <f>'Est gen ed 23 $$'!AC29/'Est gen ed 23 pos'!AC$123</f>
        <v>0</v>
      </c>
      <c r="AD29" s="43">
        <f>'Est gen ed 23 $$'!AD29/'Est gen ed 23 pos'!AD$123</f>
        <v>0</v>
      </c>
      <c r="AE29" s="43">
        <f>'Est gen ed 23 $$'!AE29/'Est gen ed 23 pos'!AE$123</f>
        <v>1.9999999121515879</v>
      </c>
      <c r="AF29" s="34">
        <f>VLOOKUP($A29,'[1]Init $$'!$B$3:$CG$118,32,FALSE)</f>
        <v>9329826</v>
      </c>
      <c r="AG29" s="34">
        <f>VLOOKUP($A29,'[1]Init $$'!$B$3:$CG$118,33,FALSE)</f>
        <v>926266</v>
      </c>
      <c r="AH29" s="43">
        <f>'Est gen ed 23 $$'!AH29/'Est gen ed 23 pos'!AH$123</f>
        <v>2.9999999121515879</v>
      </c>
      <c r="AI29" s="43">
        <f>'Est gen ed 23 $$'!AI29/'Est gen ed 23 pos'!AI$123</f>
        <v>4.9999998243031758</v>
      </c>
      <c r="AJ29" s="43">
        <f>'Est gen ed 23 $$'!AJ29/'Est gen ed 23 pos'!AJ$123</f>
        <v>23.99999920936429</v>
      </c>
      <c r="AK29" s="43">
        <f>'Est gen ed 23 $$'!AK29/'Est gen ed 23 pos'!AK$123</f>
        <v>1.9999999121515879</v>
      </c>
      <c r="AL29" s="43">
        <f>'Est gen ed 23 $$'!AL29/'Est gen ed 23 pos'!AL$123</f>
        <v>1.9999997446793083</v>
      </c>
      <c r="AM29" s="43">
        <f>'Est gen ed 23 $$'!AM29/'Est gen ed 23 pos'!AM$123</f>
        <v>0</v>
      </c>
      <c r="AN29" s="43">
        <f>'Est gen ed 23 $$'!AN29/'Est gen ed 23 pos'!AN$123</f>
        <v>0</v>
      </c>
      <c r="AO29" s="43">
        <f>'Est gen ed 23 $$'!AO29/'Est gen ed 23 pos'!AO$123</f>
        <v>0</v>
      </c>
      <c r="AP29" s="34">
        <f>VLOOKUP($A29,'[1]Init $$'!$B$3:$CG$118,42,FALSE)</f>
        <v>444391.2</v>
      </c>
      <c r="AQ29" s="34">
        <f>VLOOKUP($A29,'[1]Init $$'!$B$3:$CG$118,43,FALSE)</f>
        <v>0</v>
      </c>
      <c r="AR29" s="43">
        <f>'Est gen ed 23 $$'!AR29/'Est gen ed 23 pos'!AR$123</f>
        <v>28.999999033667464</v>
      </c>
      <c r="AS29" s="43">
        <f>'Est gen ed 23 $$'!AS29/'Est gen ed 23 pos'!AS$123</f>
        <v>0</v>
      </c>
      <c r="AT29" s="43">
        <f>'Est gen ed 23 $$'!AT29/'Est gen ed 23 pos'!AT$123</f>
        <v>1.9999997446793083</v>
      </c>
      <c r="AU29" s="34">
        <f>VLOOKUP($A29,'[1]Init $$'!$B$3:$CG$118,47,FALSE)</f>
        <v>1137856.5</v>
      </c>
      <c r="AV29" s="34">
        <f>VLOOKUP($A29,'[1]Init $$'!$B$3:$CG$118,48,FALSE)</f>
        <v>0</v>
      </c>
      <c r="AW29" s="34">
        <f>VLOOKUP($A29,'[1]Init $$'!$B$3:$CG$118,49,FALSE)</f>
        <v>0</v>
      </c>
      <c r="AX29" s="34">
        <f>VLOOKUP($A29,'[1]Init $$'!$B$3:$CG$118,50,FALSE)</f>
        <v>0</v>
      </c>
      <c r="AY29" s="34">
        <f>VLOOKUP($A29,'[1]Init $$'!$B$3:$CG$118,51,FALSE)</f>
        <v>80000</v>
      </c>
      <c r="AZ29" s="34">
        <f>VLOOKUP($A29,'[1]Init $$'!$B$3:$CG$118,52,FALSE)</f>
        <v>0</v>
      </c>
      <c r="BA29" s="34">
        <f>VLOOKUP($A29,'[1]Init $$'!$B$3:$CG$118,53,FALSE)</f>
        <v>0</v>
      </c>
      <c r="BB29" s="34">
        <f>VLOOKUP($A29,'[1]Init $$'!$B$3:$CG$118,54,FALSE)</f>
        <v>0</v>
      </c>
      <c r="BC29" s="34">
        <f>VLOOKUP($A29,'[1]Init $$'!$B$3:$CG$118,55,FALSE)</f>
        <v>476239.44</v>
      </c>
      <c r="BD29" s="34">
        <f>VLOOKUP($A29,'[1]Init $$'!$B$3:$CG$118,56,FALSE)</f>
        <v>7671.04</v>
      </c>
      <c r="BE29" s="34">
        <f>VLOOKUP($A29,'[1]Init $$'!$B$3:$CG$118,57,FALSE)</f>
        <v>0</v>
      </c>
      <c r="BF29" s="43">
        <f>'Est gen ed 23 $$'!BF29/'Est gen ed 23 pos'!BF$123</f>
        <v>0</v>
      </c>
      <c r="BG29" s="43">
        <f>'Est gen ed 23 $$'!BG29/'Est gen ed 23 pos'!BG$123</f>
        <v>0</v>
      </c>
      <c r="BH29" s="34">
        <f>VLOOKUP($A29,'[1]Init $$'!$B$3:$CG$118,60,FALSE)</f>
        <v>0</v>
      </c>
      <c r="BI29" s="34">
        <f>VLOOKUP($A29,'[1]Init $$'!$B$3:$CG$118,61,FALSE)</f>
        <v>0</v>
      </c>
      <c r="BJ29" s="34">
        <f>VLOOKUP($A29,'[1]Init $$'!$B$3:$CG$118,62,FALSE)</f>
        <v>39600</v>
      </c>
      <c r="BK29" s="43">
        <f>'Est gen ed 23 $$'!BK29/'Est gen ed 23 pos'!BK$123</f>
        <v>0</v>
      </c>
      <c r="BL29" s="34">
        <f>VLOOKUP($A29,'[1]Init $$'!$B$3:$CG$118,64,FALSE)</f>
        <v>0</v>
      </c>
      <c r="BM29" s="43">
        <f>'Est gen ed 23 $$'!BM29/'Est gen ed 23 pos'!BM$123</f>
        <v>0</v>
      </c>
      <c r="BN29" s="34">
        <f>VLOOKUP($A29,'[1]Init $$'!$B$3:$CG$118,66,FALSE)</f>
        <v>0</v>
      </c>
      <c r="BO29" s="43">
        <f>'Est gen ed 23 $$'!BO29/'Est gen ed 23 pos'!BO$123</f>
        <v>0</v>
      </c>
      <c r="BP29" s="34">
        <f>VLOOKUP($A29,'[1]Init $$'!$B$3:$CG$118,68,FALSE)</f>
        <v>285400</v>
      </c>
      <c r="BQ29" s="43">
        <f>'Est gen ed 23 $$'!BQ29/'Est gen ed 23 pos'!BQ$123</f>
        <v>0</v>
      </c>
      <c r="BR29" s="43">
        <f>'Est gen ed 23 $$'!BR29/'Est gen ed 23 pos'!BR$123</f>
        <v>0</v>
      </c>
      <c r="BS29" s="34">
        <f>VLOOKUP($A29,'[1]Init $$'!$B$3:$CG$118,71,FALSE)</f>
        <v>0</v>
      </c>
      <c r="BT29" s="34">
        <f>VLOOKUP($A29,'[1]Init $$'!$B$3:$CG$118,72,FALSE)</f>
        <v>0</v>
      </c>
      <c r="BU29" s="34">
        <f>VLOOKUP($A29,'[1]Init $$'!$B$3:$CG$118,73,FALSE)</f>
        <v>0</v>
      </c>
      <c r="BV29" s="34">
        <f>VLOOKUP($A29,'[1]Init $$'!$B$3:$CG$118,74,FALSE)</f>
        <v>0</v>
      </c>
      <c r="BW29" s="34">
        <f>VLOOKUP($A29,'[1]Init $$'!$B$3:$CG$118,75,FALSE)</f>
        <v>137551</v>
      </c>
      <c r="BX29" s="43">
        <f>'Est gen ed 23 $$'!BX29/'Est gen ed 23 pos'!BX$123</f>
        <v>2.0000081824206442</v>
      </c>
      <c r="BY29" s="43">
        <f>'Est gen ed 23 $$'!BY29/'Est gen ed 23 pos'!BY$123</f>
        <v>1</v>
      </c>
      <c r="BZ29" s="43">
        <f>'Est gen ed 23 $$'!BZ29/'Est gen ed 23 pos'!BZ$123</f>
        <v>0</v>
      </c>
      <c r="CA29" s="34">
        <f>VLOOKUP($A29,'[1]Init $$'!$B$3:$CG$118,79,FALSE)</f>
        <v>2532283.7799999998</v>
      </c>
      <c r="CB29" s="34">
        <f>VLOOKUP($A29,'[1]Init $$'!$B$3:$CG$118,80,FALSE)</f>
        <v>286942.92</v>
      </c>
      <c r="CC29" s="34">
        <f>VLOOKUP($A29,'[1]Init $$'!$B$3:$CG$118,81,FALSE)</f>
        <v>0</v>
      </c>
      <c r="CD29" s="34">
        <f>VLOOKUP($A29,'[1]Init $$'!$B$3:$CG$118,82,FALSE)</f>
        <v>0</v>
      </c>
      <c r="CE29" s="34">
        <f>VLOOKUP($A29,'[1]Init $$'!$B$3:$CG$118,83,FALSE)</f>
        <v>0</v>
      </c>
      <c r="CF29" s="34">
        <f>VLOOKUP($A29,'[1]Init $$'!$B$3:$CG$118,84,FALSE)</f>
        <v>0</v>
      </c>
      <c r="CJ29" s="28">
        <f t="shared" si="2"/>
        <v>15707283.840003535</v>
      </c>
      <c r="CK29" s="43">
        <f>'Est gen ed 23 $$'!CK29/'Est gen ed 23 pos'!CK$123</f>
        <v>0.99999604682144683</v>
      </c>
      <c r="CL29" s="43">
        <f>'Est gen ed 23 $$'!CL29/'Est gen ed 23 pos'!CL$123</f>
        <v>5.206666666666667</v>
      </c>
      <c r="CM29" s="43">
        <f>'Est gen ed 23 $$'!CM29/'Est gen ed 23 pos'!CM$123</f>
        <v>1</v>
      </c>
      <c r="CN29" s="43">
        <f>'Est gen ed 23 $$'!CN29/'Est gen ed 23 pos'!CN$123</f>
        <v>0.25608194622279129</v>
      </c>
      <c r="CO29" s="43">
        <f>'Est gen ed 23 $$'!CO29/'Est gen ed 23 pos'!CO$123</f>
        <v>1</v>
      </c>
      <c r="CP29" s="43">
        <f>'Est gen ed 23 $$'!CP29/'Est gen ed 23 pos'!CP$123</f>
        <v>1</v>
      </c>
      <c r="CQ29" s="43">
        <f>'Est gen ed 23 $$'!CQ29/'Est gen ed 23 pos'!CQ$123</f>
        <v>0</v>
      </c>
      <c r="CR29" s="43">
        <f>'Est gen ed 23 $$'!CR29/'Est gen ed 23 pos'!CR$123</f>
        <v>0</v>
      </c>
      <c r="CS29" s="43">
        <f>'Est gen ed 23 $$'!CS29/'Est gen ed 23 pos'!CS$123</f>
        <v>0</v>
      </c>
      <c r="CT29" s="43">
        <f>'Est gen ed 23 $$'!CT29/'Est gen ed 23 pos'!CT$123</f>
        <v>0</v>
      </c>
      <c r="CU29" s="43">
        <f>'Est gen ed 23 $$'!CU29/'Est gen ed 23 pos'!CU$123</f>
        <v>78.999999999999986</v>
      </c>
      <c r="CZ29" s="43">
        <f>'Est gen ed 23 $$'!CW29/'Est gen ed 23 pos'!CZ$123</f>
        <v>0.9999965685612755</v>
      </c>
      <c r="DB29" s="28">
        <f t="shared" si="3"/>
        <v>9329826</v>
      </c>
      <c r="DC29" s="28">
        <f t="shared" si="0"/>
        <v>0</v>
      </c>
      <c r="DK29" s="34"/>
      <c r="DL29" s="34"/>
    </row>
    <row r="30" spans="1:116" x14ac:dyDescent="0.2">
      <c r="A30">
        <v>455</v>
      </c>
      <c r="B30" t="s">
        <v>99</v>
      </c>
      <c r="C30" t="s">
        <v>1</v>
      </c>
      <c r="D30">
        <v>4</v>
      </c>
      <c r="E30">
        <f>VLOOKUP($A30,'[1]Init $$'!$B$3:$CG$118,4,FALSE)</f>
        <v>812</v>
      </c>
      <c r="F30">
        <f>VLOOKUP($A30,'[1]Init $$'!$B$3:$CG$118,6,FALSE)</f>
        <v>812</v>
      </c>
      <c r="G30">
        <f>VLOOKUP($A30,'[2]$$xSchpostCouncilxLevel'!$A$4:$EW$120,153,FALSE)</f>
        <v>696</v>
      </c>
      <c r="H30" s="50">
        <f t="shared" si="1"/>
        <v>116</v>
      </c>
      <c r="I30" s="4">
        <f>VLOOKUP($A30,'[1]Init $$'!$B$3:$CG$118,8,FALSE)</f>
        <v>0.61330049261083741</v>
      </c>
      <c r="J30">
        <f>VLOOKUP($A30,'[1]Init $$'!$B$3:$CG$118,7,FALSE)</f>
        <v>498</v>
      </c>
      <c r="K30" s="43">
        <f>'Est gen ed 23 $$'!K30/'Est gen ed 23 pos'!K$123</f>
        <v>1</v>
      </c>
      <c r="L30" s="43">
        <f>'Est gen ed 23 $$'!L30/'Est gen ed 23 pos'!L$123</f>
        <v>0</v>
      </c>
      <c r="M30" s="43">
        <f>'Est gen ed 23 $$'!M30/'Est gen ed 23 pos'!M$123</f>
        <v>3.4999981312049835</v>
      </c>
      <c r="N30" s="43">
        <f>'Est gen ed 23 $$'!N30/'Est gen ed 23 pos'!N$123</f>
        <v>1</v>
      </c>
      <c r="O30" s="34">
        <f>VLOOKUP($A30,'[1]Init $$'!$B$3:$CG$118,15,FALSE)</f>
        <v>26646.74</v>
      </c>
      <c r="P30" s="43">
        <f>'Est gen ed 23 $$'!P30/'Est gen ed 23 pos'!P$123</f>
        <v>1</v>
      </c>
      <c r="Q30" s="43">
        <f>'Est gen ed 23 $$'!Q30/'Est gen ed 23 pos'!Q$123</f>
        <v>1</v>
      </c>
      <c r="R30" s="43">
        <f>'Est gen ed 23 $$'!R30/'Est gen ed 23 pos'!R$123</f>
        <v>8.000000586083333</v>
      </c>
      <c r="S30" s="43">
        <f>'Est gen ed 23 $$'!S30/'Est gen ed 23 pos'!S$123</f>
        <v>1</v>
      </c>
      <c r="T30" s="43">
        <f>'Est gen ed 23 $$'!T30/'Est gen ed 23 pos'!T$123</f>
        <v>0</v>
      </c>
      <c r="U30" s="43">
        <f>'Est gen ed 23 $$'!U30/'Est gen ed 23 pos'!U$123</f>
        <v>0</v>
      </c>
      <c r="V30" s="43">
        <f>'Est gen ed 23 $$'!V30/'Est gen ed 23 pos'!V$123</f>
        <v>0</v>
      </c>
      <c r="W30" s="43">
        <f>'Est gen ed 23 $$'!W30/'Est gen ed 23 pos'!W$123</f>
        <v>0</v>
      </c>
      <c r="X30" s="34">
        <f>VLOOKUP($A30,'[1]Init $$'!$B$3:$CG$118,24,FALSE)</f>
        <v>0</v>
      </c>
      <c r="Y30" s="34">
        <f>VLOOKUP($A30,'[1]Init $$'!$B$3:$CG$118,25,FALSE)</f>
        <v>0</v>
      </c>
      <c r="Z30" s="34">
        <f>VLOOKUP($A30,'[1]Init $$'!$B$3:$CG$118,26,FALSE)</f>
        <v>0</v>
      </c>
      <c r="AA30" s="34">
        <f>VLOOKUP($A30,'[1]Init $$'!$B$3:$CG$118,27,FALSE)</f>
        <v>0</v>
      </c>
      <c r="AB30" s="43">
        <f>'Est gen ed 23 $$'!AB30/'Est gen ed 23 pos'!AB$123</f>
        <v>2.9999999121515879</v>
      </c>
      <c r="AC30" s="43">
        <f>'Est gen ed 23 $$'!AC30/'Est gen ed 23 pos'!AC$123</f>
        <v>0</v>
      </c>
      <c r="AD30" s="43">
        <f>'Est gen ed 23 $$'!AD30/'Est gen ed 23 pos'!AD$123</f>
        <v>0</v>
      </c>
      <c r="AE30" s="43">
        <f>'Est gen ed 23 $$'!AE30/'Est gen ed 23 pos'!AE$123</f>
        <v>1.9999999121515879</v>
      </c>
      <c r="AF30" s="34">
        <f>VLOOKUP($A30,'[1]Init $$'!$B$3:$CG$118,32,FALSE)</f>
        <v>4850076</v>
      </c>
      <c r="AG30" s="34">
        <f>VLOOKUP($A30,'[1]Init $$'!$B$3:$CG$118,33,FALSE)</f>
        <v>481516</v>
      </c>
      <c r="AH30" s="43">
        <f>'Est gen ed 23 $$'!AH30/'Est gen ed 23 pos'!AH$123</f>
        <v>1.9999999121515879</v>
      </c>
      <c r="AI30" s="43">
        <f>'Est gen ed 23 $$'!AI30/'Est gen ed 23 pos'!AI$123</f>
        <v>3.9999998243031758</v>
      </c>
      <c r="AJ30" s="43">
        <f>'Est gen ed 23 $$'!AJ30/'Est gen ed 23 pos'!AJ$123</f>
        <v>9.9999996486063516</v>
      </c>
      <c r="AK30" s="43">
        <f>'Est gen ed 23 $$'!AK30/'Est gen ed 23 pos'!AK$123</f>
        <v>4.9999998243031758</v>
      </c>
      <c r="AL30" s="43">
        <f>'Est gen ed 23 $$'!AL30/'Est gen ed 23 pos'!AL$123</f>
        <v>6.9999994893586166</v>
      </c>
      <c r="AM30" s="43">
        <f>'Est gen ed 23 $$'!AM30/'Est gen ed 23 pos'!AM$123</f>
        <v>0</v>
      </c>
      <c r="AN30" s="43">
        <f>'Est gen ed 23 $$'!AN30/'Est gen ed 23 pos'!AN$123</f>
        <v>1.0000010424267696</v>
      </c>
      <c r="AO30" s="43">
        <f>'Est gen ed 23 $$'!AO30/'Est gen ed 23 pos'!AO$123</f>
        <v>0</v>
      </c>
      <c r="AP30" s="34">
        <f>VLOOKUP($A30,'[1]Init $$'!$B$3:$CG$118,42,FALSE)</f>
        <v>270576.90000000002</v>
      </c>
      <c r="AQ30" s="34">
        <f>VLOOKUP($A30,'[1]Init $$'!$B$3:$CG$118,43,FALSE)</f>
        <v>0</v>
      </c>
      <c r="AR30" s="43">
        <f>'Est gen ed 23 $$'!AR30/'Est gen ed 23 pos'!AR$123</f>
        <v>8.9999997364547628</v>
      </c>
      <c r="AS30" s="43">
        <f>'Est gen ed 23 $$'!AS30/'Est gen ed 23 pos'!AS$123</f>
        <v>0</v>
      </c>
      <c r="AT30" s="43">
        <f>'Est gen ed 23 $$'!AT30/'Est gen ed 23 pos'!AT$123</f>
        <v>1</v>
      </c>
      <c r="AU30" s="34">
        <f>VLOOKUP($A30,'[1]Init $$'!$B$3:$CG$118,47,FALSE)</f>
        <v>336877.2</v>
      </c>
      <c r="AV30" s="34">
        <f>VLOOKUP($A30,'[1]Init $$'!$B$3:$CG$118,48,FALSE)</f>
        <v>0</v>
      </c>
      <c r="AW30" s="34">
        <f>VLOOKUP($A30,'[1]Init $$'!$B$3:$CG$118,49,FALSE)</f>
        <v>0</v>
      </c>
      <c r="AX30" s="34">
        <f>VLOOKUP($A30,'[1]Init $$'!$B$3:$CG$118,50,FALSE)</f>
        <v>0</v>
      </c>
      <c r="AY30" s="34">
        <f>VLOOKUP($A30,'[1]Init $$'!$B$3:$CG$118,51,FALSE)</f>
        <v>60000</v>
      </c>
      <c r="AZ30" s="34">
        <f>VLOOKUP($A30,'[1]Init $$'!$B$3:$CG$118,52,FALSE)</f>
        <v>0</v>
      </c>
      <c r="BA30" s="34">
        <f>VLOOKUP($A30,'[1]Init $$'!$B$3:$CG$118,53,FALSE)</f>
        <v>0</v>
      </c>
      <c r="BB30" s="34">
        <f>VLOOKUP($A30,'[1]Init $$'!$B$3:$CG$118,54,FALSE)</f>
        <v>0</v>
      </c>
      <c r="BC30" s="34">
        <f>VLOOKUP($A30,'[1]Init $$'!$B$3:$CG$118,55,FALSE)</f>
        <v>299597.90000000002</v>
      </c>
      <c r="BD30" s="34">
        <f>VLOOKUP($A30,'[1]Init $$'!$B$3:$CG$118,56,FALSE)</f>
        <v>4825.78</v>
      </c>
      <c r="BE30" s="34">
        <f>VLOOKUP($A30,'[1]Init $$'!$B$3:$CG$118,57,FALSE)</f>
        <v>0</v>
      </c>
      <c r="BF30" s="43">
        <f>'Est gen ed 23 $$'!BF30/'Est gen ed 23 pos'!BF$123</f>
        <v>0</v>
      </c>
      <c r="BG30" s="43">
        <f>'Est gen ed 23 $$'!BG30/'Est gen ed 23 pos'!BG$123</f>
        <v>0.99999886478304745</v>
      </c>
      <c r="BH30" s="34">
        <f>VLOOKUP($A30,'[1]Init $$'!$B$3:$CG$118,60,FALSE)</f>
        <v>8416.09</v>
      </c>
      <c r="BI30" s="34">
        <f>VLOOKUP($A30,'[1]Init $$'!$B$3:$CG$118,61,FALSE)</f>
        <v>16800</v>
      </c>
      <c r="BJ30" s="34">
        <f>VLOOKUP($A30,'[1]Init $$'!$B$3:$CG$118,62,FALSE)</f>
        <v>39600</v>
      </c>
      <c r="BK30" s="43">
        <f>'Est gen ed 23 $$'!BK30/'Est gen ed 23 pos'!BK$123</f>
        <v>0</v>
      </c>
      <c r="BL30" s="34">
        <f>VLOOKUP($A30,'[1]Init $$'!$B$3:$CG$118,64,FALSE)</f>
        <v>0</v>
      </c>
      <c r="BM30" s="43">
        <f>'Est gen ed 23 $$'!BM30/'Est gen ed 23 pos'!BM$123</f>
        <v>0</v>
      </c>
      <c r="BN30" s="34">
        <f>VLOOKUP($A30,'[1]Init $$'!$B$3:$CG$118,66,FALSE)</f>
        <v>0</v>
      </c>
      <c r="BO30" s="43">
        <f>'Est gen ed 23 $$'!BO30/'Est gen ed 23 pos'!BO$123</f>
        <v>1.0000041250219776</v>
      </c>
      <c r="BP30" s="34">
        <f>VLOOKUP($A30,'[1]Init $$'!$B$3:$CG$118,68,FALSE)</f>
        <v>0</v>
      </c>
      <c r="BQ30" s="43">
        <f>'Est gen ed 23 $$'!BQ30/'Est gen ed 23 pos'!BQ$123</f>
        <v>0</v>
      </c>
      <c r="BR30" s="43">
        <f>'Est gen ed 23 $$'!BR30/'Est gen ed 23 pos'!BR$123</f>
        <v>0</v>
      </c>
      <c r="BS30" s="34">
        <f>VLOOKUP($A30,'[1]Init $$'!$B$3:$CG$118,71,FALSE)</f>
        <v>0</v>
      </c>
      <c r="BT30" s="34">
        <f>VLOOKUP($A30,'[1]Init $$'!$B$3:$CG$118,72,FALSE)</f>
        <v>0</v>
      </c>
      <c r="BU30" s="34">
        <f>VLOOKUP($A30,'[1]Init $$'!$B$3:$CG$118,73,FALSE)</f>
        <v>0</v>
      </c>
      <c r="BV30" s="34">
        <f>VLOOKUP($A30,'[1]Init $$'!$B$3:$CG$118,74,FALSE)</f>
        <v>1000000</v>
      </c>
      <c r="BW30" s="34">
        <f>VLOOKUP($A30,'[1]Init $$'!$B$3:$CG$118,75,FALSE)</f>
        <v>0</v>
      </c>
      <c r="BX30" s="43">
        <f>'Est gen ed 23 $$'!BX30/'Est gen ed 23 pos'!BX$123</f>
        <v>2.0000081824206442</v>
      </c>
      <c r="BY30" s="43">
        <f>'Est gen ed 23 $$'!BY30/'Est gen ed 23 pos'!BY$123</f>
        <v>1</v>
      </c>
      <c r="BZ30" s="43">
        <f>'Est gen ed 23 $$'!BZ30/'Est gen ed 23 pos'!BZ$123</f>
        <v>0</v>
      </c>
      <c r="CA30" s="34">
        <f>VLOOKUP($A30,'[1]Init $$'!$B$3:$CG$118,79,FALSE)</f>
        <v>1490801.6</v>
      </c>
      <c r="CB30" s="34">
        <f>VLOOKUP($A30,'[1]Init $$'!$B$3:$CG$118,80,FALSE)</f>
        <v>206904.72</v>
      </c>
      <c r="CC30" s="34">
        <f>VLOOKUP($A30,'[1]Init $$'!$B$3:$CG$118,81,FALSE)</f>
        <v>0</v>
      </c>
      <c r="CD30" s="34">
        <f>VLOOKUP($A30,'[1]Init $$'!$B$3:$CG$118,82,FALSE)</f>
        <v>0</v>
      </c>
      <c r="CE30" s="34">
        <f>VLOOKUP($A30,'[1]Init $$'!$B$3:$CG$118,83,FALSE)</f>
        <v>0</v>
      </c>
      <c r="CF30" s="34">
        <f>VLOOKUP($A30,'[1]Init $$'!$B$3:$CG$118,84,FALSE)</f>
        <v>0</v>
      </c>
      <c r="CJ30" s="28">
        <f t="shared" si="2"/>
        <v>9092704.4300091937</v>
      </c>
      <c r="CK30" s="43">
        <f>'Est gen ed 23 $$'!CK30/'Est gen ed 23 pos'!CK$123</f>
        <v>0.99999604682144683</v>
      </c>
      <c r="CL30" s="43">
        <f>'Est gen ed 23 $$'!CL30/'Est gen ed 23 pos'!CL$123</f>
        <v>2.7066666666666666</v>
      </c>
      <c r="CM30" s="43">
        <f>'Est gen ed 23 $$'!CM30/'Est gen ed 23 pos'!CM$123</f>
        <v>1</v>
      </c>
      <c r="CN30" s="43">
        <f>'Est gen ed 23 $$'!CN30/'Est gen ed 23 pos'!CN$123</f>
        <v>0.49261083743842365</v>
      </c>
      <c r="CO30" s="43">
        <f>'Est gen ed 23 $$'!CO30/'Est gen ed 23 pos'!CO$123</f>
        <v>1</v>
      </c>
      <c r="CP30" s="43">
        <f>'Est gen ed 23 $$'!CP30/'Est gen ed 23 pos'!CP$123</f>
        <v>1</v>
      </c>
      <c r="CQ30" s="43">
        <f>'Est gen ed 23 $$'!CQ30/'Est gen ed 23 pos'!CQ$123</f>
        <v>0</v>
      </c>
      <c r="CR30" s="43">
        <f>'Est gen ed 23 $$'!CR30/'Est gen ed 23 pos'!CR$123</f>
        <v>0</v>
      </c>
      <c r="CS30" s="43">
        <f>'Est gen ed 23 $$'!CS30/'Est gen ed 23 pos'!CS$123</f>
        <v>0</v>
      </c>
      <c r="CT30" s="43">
        <f>'Est gen ed 23 $$'!CT30/'Est gen ed 23 pos'!CT$123</f>
        <v>0</v>
      </c>
      <c r="CU30" s="43">
        <f>'Est gen ed 23 $$'!CU30/'Est gen ed 23 pos'!CU$123</f>
        <v>46</v>
      </c>
      <c r="CZ30" s="43">
        <f>'Est gen ed 23 $$'!CW30/'Est gen ed 23 pos'!CZ$123</f>
        <v>0.9999965685612755</v>
      </c>
      <c r="DB30" s="28">
        <f t="shared" si="3"/>
        <v>5850076</v>
      </c>
      <c r="DC30" s="28">
        <f t="shared" si="0"/>
        <v>0</v>
      </c>
      <c r="DK30" s="34"/>
      <c r="DL30" s="34"/>
    </row>
    <row r="31" spans="1:116" x14ac:dyDescent="0.2">
      <c r="A31">
        <v>405</v>
      </c>
      <c r="B31" t="s">
        <v>98</v>
      </c>
      <c r="C31" t="s">
        <v>19</v>
      </c>
      <c r="D31">
        <v>3</v>
      </c>
      <c r="E31">
        <f>VLOOKUP($A31,'[1]Init $$'!$B$3:$CG$118,4,FALSE)</f>
        <v>1405</v>
      </c>
      <c r="F31">
        <f>VLOOKUP($A31,'[1]Init $$'!$B$3:$CG$118,6,FALSE)</f>
        <v>1405</v>
      </c>
      <c r="G31">
        <f>VLOOKUP($A31,'[2]$$xSchpostCouncilxLevel'!$A$4:$EW$120,153,FALSE)</f>
        <v>1466</v>
      </c>
      <c r="H31" s="50">
        <f t="shared" si="1"/>
        <v>-61</v>
      </c>
      <c r="I31" s="4">
        <f>VLOOKUP($A31,'[1]Init $$'!$B$3:$CG$118,8,FALSE)</f>
        <v>0.10462633451957296</v>
      </c>
      <c r="J31">
        <f>VLOOKUP($A31,'[1]Init $$'!$B$3:$CG$118,7,FALSE)</f>
        <v>147</v>
      </c>
      <c r="K31" s="43">
        <f>'Est gen ed 23 $$'!K31/'Est gen ed 23 pos'!K$123</f>
        <v>1</v>
      </c>
      <c r="L31" s="43">
        <f>'Est gen ed 23 $$'!L31/'Est gen ed 23 pos'!L$123</f>
        <v>3.9999998243031758</v>
      </c>
      <c r="M31" s="43">
        <f>'Est gen ed 23 $$'!M31/'Est gen ed 23 pos'!M$123</f>
        <v>0</v>
      </c>
      <c r="N31" s="43">
        <f>'Est gen ed 23 $$'!N31/'Est gen ed 23 pos'!N$123</f>
        <v>1</v>
      </c>
      <c r="O31" s="34">
        <f>VLOOKUP($A31,'[1]Init $$'!$B$3:$CG$118,15,FALSE)</f>
        <v>15185.75</v>
      </c>
      <c r="P31" s="43">
        <f>'Est gen ed 23 $$'!P31/'Est gen ed 23 pos'!P$123</f>
        <v>1</v>
      </c>
      <c r="Q31" s="43">
        <f>'Est gen ed 23 $$'!Q31/'Est gen ed 23 pos'!Q$123</f>
        <v>1</v>
      </c>
      <c r="R31" s="43">
        <f>'Est gen ed 23 $$'!R31/'Est gen ed 23 pos'!R$123</f>
        <v>8.000000586083333</v>
      </c>
      <c r="S31" s="43">
        <f>'Est gen ed 23 $$'!S31/'Est gen ed 23 pos'!S$123</f>
        <v>1</v>
      </c>
      <c r="T31" s="43">
        <f>'Est gen ed 23 $$'!T31/'Est gen ed 23 pos'!T$123</f>
        <v>0</v>
      </c>
      <c r="U31" s="43">
        <f>'Est gen ed 23 $$'!U31/'Est gen ed 23 pos'!U$123</f>
        <v>0</v>
      </c>
      <c r="V31" s="43">
        <f>'Est gen ed 23 $$'!V31/'Est gen ed 23 pos'!V$123</f>
        <v>0</v>
      </c>
      <c r="W31" s="43">
        <f>'Est gen ed 23 $$'!W31/'Est gen ed 23 pos'!W$123</f>
        <v>0</v>
      </c>
      <c r="X31" s="34">
        <f>VLOOKUP($A31,'[1]Init $$'!$B$3:$CG$118,24,FALSE)</f>
        <v>0</v>
      </c>
      <c r="Y31" s="34">
        <f>VLOOKUP($A31,'[1]Init $$'!$B$3:$CG$118,25,FALSE)</f>
        <v>0</v>
      </c>
      <c r="Z31" s="34">
        <f>VLOOKUP($A31,'[1]Init $$'!$B$3:$CG$118,26,FALSE)</f>
        <v>0</v>
      </c>
      <c r="AA31" s="34">
        <f>VLOOKUP($A31,'[1]Init $$'!$B$3:$CG$118,27,FALSE)</f>
        <v>0</v>
      </c>
      <c r="AB31" s="43">
        <f>'Est gen ed 23 $$'!AB31/'Est gen ed 23 pos'!AB$123</f>
        <v>0</v>
      </c>
      <c r="AC31" s="43">
        <f>'Est gen ed 23 $$'!AC31/'Est gen ed 23 pos'!AC$123</f>
        <v>0</v>
      </c>
      <c r="AD31" s="43">
        <f>'Est gen ed 23 $$'!AD31/'Est gen ed 23 pos'!AD$123</f>
        <v>0</v>
      </c>
      <c r="AE31" s="43">
        <f>'Est gen ed 23 $$'!AE31/'Est gen ed 23 pos'!AE$123</f>
        <v>0</v>
      </c>
      <c r="AF31" s="34">
        <f>VLOOKUP($A31,'[1]Init $$'!$B$3:$CG$118,32,FALSE)</f>
        <v>8392065</v>
      </c>
      <c r="AG31" s="34">
        <f>VLOOKUP($A31,'[1]Init $$'!$B$3:$CG$118,33,FALSE)</f>
        <v>480510</v>
      </c>
      <c r="AH31" s="43">
        <f>'Est gen ed 23 $$'!AH31/'Est gen ed 23 pos'!AH$123</f>
        <v>1.9999999121515879</v>
      </c>
      <c r="AI31" s="43">
        <f>'Est gen ed 23 $$'!AI31/'Est gen ed 23 pos'!AI$123</f>
        <v>3.4999998682273818</v>
      </c>
      <c r="AJ31" s="43">
        <f>'Est gen ed 23 $$'!AJ31/'Est gen ed 23 pos'!AJ$123</f>
        <v>13.999999560757939</v>
      </c>
      <c r="AK31" s="43">
        <f>'Est gen ed 23 $$'!AK31/'Est gen ed 23 pos'!AK$123</f>
        <v>2.9999999121515879</v>
      </c>
      <c r="AL31" s="43">
        <f>'Est gen ed 23 $$'!AL31/'Est gen ed 23 pos'!AL$123</f>
        <v>2.9999997446793083</v>
      </c>
      <c r="AM31" s="43">
        <f>'Est gen ed 23 $$'!AM31/'Est gen ed 23 pos'!AM$123</f>
        <v>0</v>
      </c>
      <c r="AN31" s="43">
        <f>'Est gen ed 23 $$'!AN31/'Est gen ed 23 pos'!AN$123</f>
        <v>1.0000010424267696</v>
      </c>
      <c r="AO31" s="43">
        <f>'Est gen ed 23 $$'!AO31/'Est gen ed 23 pos'!AO$123</f>
        <v>0</v>
      </c>
      <c r="AP31" s="34">
        <f>VLOOKUP($A31,'[1]Init $$'!$B$3:$CG$118,42,FALSE)</f>
        <v>293871.59999999998</v>
      </c>
      <c r="AQ31" s="34">
        <f>VLOOKUP($A31,'[1]Init $$'!$B$3:$CG$118,43,FALSE)</f>
        <v>0</v>
      </c>
      <c r="AR31" s="43">
        <f>'Est gen ed 23 $$'!AR31/'Est gen ed 23 pos'!AR$123</f>
        <v>6.4999997803789693</v>
      </c>
      <c r="AS31" s="43">
        <f>'Est gen ed 23 $$'!AS31/'Est gen ed 23 pos'!AS$123</f>
        <v>0</v>
      </c>
      <c r="AT31" s="43">
        <f>'Est gen ed 23 $$'!AT31/'Est gen ed 23 pos'!AT$123</f>
        <v>0</v>
      </c>
      <c r="AU31" s="34">
        <f>VLOOKUP($A31,'[1]Init $$'!$B$3:$CG$118,47,FALSE)</f>
        <v>250866</v>
      </c>
      <c r="AV31" s="34">
        <f>VLOOKUP($A31,'[1]Init $$'!$B$3:$CG$118,48,FALSE)</f>
        <v>0</v>
      </c>
      <c r="AW31" s="34">
        <f>VLOOKUP($A31,'[1]Init $$'!$B$3:$CG$118,49,FALSE)</f>
        <v>0</v>
      </c>
      <c r="AX31" s="34">
        <f>VLOOKUP($A31,'[1]Init $$'!$B$3:$CG$118,50,FALSE)</f>
        <v>0</v>
      </c>
      <c r="AY31" s="34">
        <f>VLOOKUP($A31,'[1]Init $$'!$B$3:$CG$118,51,FALSE)</f>
        <v>0</v>
      </c>
      <c r="AZ31" s="34">
        <f>VLOOKUP($A31,'[1]Init $$'!$B$3:$CG$118,52,FALSE)</f>
        <v>0</v>
      </c>
      <c r="BA31" s="34">
        <f>VLOOKUP($A31,'[1]Init $$'!$B$3:$CG$118,53,FALSE)</f>
        <v>0</v>
      </c>
      <c r="BB31" s="34">
        <f>VLOOKUP($A31,'[1]Init $$'!$B$3:$CG$118,54,FALSE)</f>
        <v>0</v>
      </c>
      <c r="BC31" s="34">
        <f>VLOOKUP($A31,'[1]Init $$'!$B$3:$CG$118,55,FALSE)</f>
        <v>0</v>
      </c>
      <c r="BD31" s="34">
        <f>VLOOKUP($A31,'[1]Init $$'!$B$3:$CG$118,56,FALSE)</f>
        <v>0</v>
      </c>
      <c r="BE31" s="34">
        <f>VLOOKUP($A31,'[1]Init $$'!$B$3:$CG$118,57,FALSE)</f>
        <v>35125</v>
      </c>
      <c r="BF31" s="43">
        <f>'Est gen ed 23 $$'!BF31/'Est gen ed 23 pos'!BF$123</f>
        <v>0</v>
      </c>
      <c r="BG31" s="43">
        <f>'Est gen ed 23 $$'!BG31/'Est gen ed 23 pos'!BG$123</f>
        <v>0</v>
      </c>
      <c r="BH31" s="34">
        <f>VLOOKUP($A31,'[1]Init $$'!$B$3:$CG$118,60,FALSE)</f>
        <v>0</v>
      </c>
      <c r="BI31" s="34">
        <f>VLOOKUP($A31,'[1]Init $$'!$B$3:$CG$118,61,FALSE)</f>
        <v>0</v>
      </c>
      <c r="BJ31" s="34">
        <f>VLOOKUP($A31,'[1]Init $$'!$B$3:$CG$118,62,FALSE)</f>
        <v>0</v>
      </c>
      <c r="BK31" s="43">
        <f>'Est gen ed 23 $$'!BK31/'Est gen ed 23 pos'!BK$123</f>
        <v>1</v>
      </c>
      <c r="BL31" s="34">
        <f>VLOOKUP($A31,'[1]Init $$'!$B$3:$CG$118,64,FALSE)</f>
        <v>18887</v>
      </c>
      <c r="BM31" s="43">
        <f>'Est gen ed 23 $$'!BM31/'Est gen ed 23 pos'!BM$123</f>
        <v>0</v>
      </c>
      <c r="BN31" s="34">
        <f>VLOOKUP($A31,'[1]Init $$'!$B$3:$CG$118,66,FALSE)</f>
        <v>0</v>
      </c>
      <c r="BO31" s="43">
        <f>'Est gen ed 23 $$'!BO31/'Est gen ed 23 pos'!BO$123</f>
        <v>0</v>
      </c>
      <c r="BP31" s="34">
        <f>VLOOKUP($A31,'[1]Init $$'!$B$3:$CG$118,68,FALSE)</f>
        <v>0</v>
      </c>
      <c r="BQ31" s="43">
        <f>'Est gen ed 23 $$'!BQ31/'Est gen ed 23 pos'!BQ$123</f>
        <v>0</v>
      </c>
      <c r="BR31" s="43">
        <f>'Est gen ed 23 $$'!BR31/'Est gen ed 23 pos'!BR$123</f>
        <v>0</v>
      </c>
      <c r="BS31" s="34">
        <f>VLOOKUP($A31,'[1]Init $$'!$B$3:$CG$118,71,FALSE)</f>
        <v>0</v>
      </c>
      <c r="BT31" s="34">
        <f>VLOOKUP($A31,'[1]Init $$'!$B$3:$CG$118,72,FALSE)</f>
        <v>0</v>
      </c>
      <c r="BU31" s="34">
        <f>VLOOKUP($A31,'[1]Init $$'!$B$3:$CG$118,73,FALSE)</f>
        <v>0</v>
      </c>
      <c r="BV31" s="34">
        <f>VLOOKUP($A31,'[1]Init $$'!$B$3:$CG$118,74,FALSE)</f>
        <v>0</v>
      </c>
      <c r="BW31" s="34">
        <f>VLOOKUP($A31,'[1]Init $$'!$B$3:$CG$118,75,FALSE)</f>
        <v>0</v>
      </c>
      <c r="BX31" s="43">
        <f>'Est gen ed 23 $$'!BX31/'Est gen ed 23 pos'!BX$123</f>
        <v>0</v>
      </c>
      <c r="BY31" s="43">
        <f>'Est gen ed 23 $$'!BY31/'Est gen ed 23 pos'!BY$123</f>
        <v>0</v>
      </c>
      <c r="BZ31" s="43">
        <f>'Est gen ed 23 $$'!BZ31/'Est gen ed 23 pos'!BZ$123</f>
        <v>0</v>
      </c>
      <c r="CA31" s="34">
        <f>VLOOKUP($A31,'[1]Init $$'!$B$3:$CG$118,79,FALSE)</f>
        <v>394328.09</v>
      </c>
      <c r="CB31" s="34">
        <f>VLOOKUP($A31,'[1]Init $$'!$B$3:$CG$118,80,FALSE)</f>
        <v>0</v>
      </c>
      <c r="CC31" s="34">
        <f>VLOOKUP($A31,'[1]Init $$'!$B$3:$CG$118,81,FALSE)</f>
        <v>785852.78</v>
      </c>
      <c r="CD31" s="34">
        <f>VLOOKUP($A31,'[1]Init $$'!$B$3:$CG$118,82,FALSE)</f>
        <v>864674.04</v>
      </c>
      <c r="CE31" s="34">
        <f>VLOOKUP($A31,'[1]Init $$'!$B$3:$CG$118,83,FALSE)</f>
        <v>0</v>
      </c>
      <c r="CF31" s="34">
        <f>VLOOKUP($A31,'[1]Init $$'!$B$3:$CG$118,84,FALSE)</f>
        <v>66035.789999999994</v>
      </c>
      <c r="CJ31" s="28">
        <f t="shared" si="2"/>
        <v>11597452.050000228</v>
      </c>
      <c r="CK31" s="43">
        <f>'Est gen ed 23 $$'!CK31/'Est gen ed 23 pos'!CK$123</f>
        <v>0.99999604682144683</v>
      </c>
      <c r="CL31" s="43">
        <f>'Est gen ed 23 $$'!CL31/'Est gen ed 23 pos'!CL$123</f>
        <v>4.6833333333333336</v>
      </c>
      <c r="CM31" s="43">
        <f>'Est gen ed 23 $$'!CM31/'Est gen ed 23 pos'!CM$123</f>
        <v>1</v>
      </c>
      <c r="CN31" s="43">
        <f>'Est gen ed 23 $$'!CN31/'Est gen ed 23 pos'!CN$123</f>
        <v>0.28469750889679718</v>
      </c>
      <c r="CO31" s="43">
        <f>'Est gen ed 23 $$'!CO31/'Est gen ed 23 pos'!CO$123</f>
        <v>0</v>
      </c>
      <c r="CP31" s="43">
        <f>'Est gen ed 23 $$'!CP31/'Est gen ed 23 pos'!CP$123</f>
        <v>0</v>
      </c>
      <c r="CQ31" s="43">
        <f>'Est gen ed 23 $$'!CQ31/'Est gen ed 23 pos'!CQ$123</f>
        <v>0</v>
      </c>
      <c r="CR31" s="43">
        <f>'Est gen ed 23 $$'!CR31/'Est gen ed 23 pos'!CR$123</f>
        <v>0</v>
      </c>
      <c r="CS31" s="43">
        <f>'Est gen ed 23 $$'!CS31/'Est gen ed 23 pos'!CS$123</f>
        <v>0</v>
      </c>
      <c r="CT31" s="43">
        <f>'Est gen ed 23 $$'!CT31/'Est gen ed 23 pos'!CT$123</f>
        <v>0</v>
      </c>
      <c r="CU31" s="43">
        <f>'Est gen ed 23 $$'!CU31/'Est gen ed 23 pos'!CU$123</f>
        <v>73.999999999999986</v>
      </c>
      <c r="CZ31" s="43">
        <f>'Est gen ed 23 $$'!CW31/'Est gen ed 23 pos'!CZ$123</f>
        <v>0</v>
      </c>
      <c r="DB31" s="28">
        <f t="shared" si="3"/>
        <v>8392065</v>
      </c>
      <c r="DC31" s="28">
        <f t="shared" si="0"/>
        <v>1716562.61</v>
      </c>
      <c r="DK31" s="34"/>
      <c r="DL31" s="34"/>
    </row>
    <row r="32" spans="1:116" x14ac:dyDescent="0.2">
      <c r="A32">
        <v>349</v>
      </c>
      <c r="B32" t="s">
        <v>97</v>
      </c>
      <c r="C32" t="s">
        <v>7</v>
      </c>
      <c r="D32">
        <v>4</v>
      </c>
      <c r="E32">
        <f>VLOOKUP($A32,'[1]Init $$'!$B$3:$CG$118,4,FALSE)</f>
        <v>435</v>
      </c>
      <c r="F32">
        <f>VLOOKUP($A32,'[1]Init $$'!$B$3:$CG$118,6,FALSE)</f>
        <v>312</v>
      </c>
      <c r="G32">
        <f>VLOOKUP($A32,'[2]$$xSchpostCouncilxLevel'!$A$4:$EW$120,153,FALSE)</f>
        <v>325</v>
      </c>
      <c r="H32" s="50">
        <f t="shared" si="1"/>
        <v>-13</v>
      </c>
      <c r="I32" s="4">
        <f>VLOOKUP($A32,'[1]Init $$'!$B$3:$CG$118,8,FALSE)</f>
        <v>0.44827586206896552</v>
      </c>
      <c r="J32">
        <f>VLOOKUP($A32,'[1]Init $$'!$B$3:$CG$118,7,FALSE)</f>
        <v>195</v>
      </c>
      <c r="K32" s="43">
        <f>'Est gen ed 23 $$'!K32/'Est gen ed 23 pos'!K$123</f>
        <v>1</v>
      </c>
      <c r="L32" s="43">
        <f>'Est gen ed 23 $$'!L32/'Est gen ed 23 pos'!L$123</f>
        <v>0</v>
      </c>
      <c r="M32" s="43">
        <f>'Est gen ed 23 $$'!M32/'Est gen ed 23 pos'!M$123</f>
        <v>0</v>
      </c>
      <c r="N32" s="43">
        <f>'Est gen ed 23 $$'!N32/'Est gen ed 23 pos'!N$123</f>
        <v>1</v>
      </c>
      <c r="O32" s="34">
        <f>VLOOKUP($A32,'[1]Init $$'!$B$3:$CG$118,15,FALSE)</f>
        <v>6675.95</v>
      </c>
      <c r="P32" s="43">
        <f>'Est gen ed 23 $$'!P32/'Est gen ed 23 pos'!P$123</f>
        <v>1</v>
      </c>
      <c r="Q32" s="43">
        <f>'Est gen ed 23 $$'!Q32/'Est gen ed 23 pos'!Q$123</f>
        <v>1</v>
      </c>
      <c r="R32" s="43">
        <f>'Est gen ed 23 $$'!R32/'Est gen ed 23 pos'!R$123</f>
        <v>2.0000001953611113</v>
      </c>
      <c r="S32" s="43">
        <f>'Est gen ed 23 $$'!S32/'Est gen ed 23 pos'!S$123</f>
        <v>1</v>
      </c>
      <c r="T32" s="43">
        <f>'Est gen ed 23 $$'!T32/'Est gen ed 23 pos'!T$123</f>
        <v>4.9999998243031758</v>
      </c>
      <c r="U32" s="43">
        <f>'Est gen ed 23 $$'!U32/'Est gen ed 23 pos'!U$123</f>
        <v>0</v>
      </c>
      <c r="V32" s="43">
        <f>'Est gen ed 23 $$'!V32/'Est gen ed 23 pos'!V$123</f>
        <v>3.9999998243031758</v>
      </c>
      <c r="W32" s="43">
        <f>'Est gen ed 23 $$'!W32/'Est gen ed 23 pos'!W$123</f>
        <v>8.9999992340379258</v>
      </c>
      <c r="X32" s="34">
        <f>VLOOKUP($A32,'[1]Init $$'!$B$3:$CG$118,24,FALSE)</f>
        <v>220403.7</v>
      </c>
      <c r="Y32" s="34">
        <f>VLOOKUP($A32,'[1]Init $$'!$B$3:$CG$118,25,FALSE)</f>
        <v>0</v>
      </c>
      <c r="Z32" s="34">
        <f>VLOOKUP($A32,'[1]Init $$'!$B$3:$CG$118,26,FALSE)</f>
        <v>0</v>
      </c>
      <c r="AA32" s="34">
        <f>VLOOKUP($A32,'[1]Init $$'!$B$3:$CG$118,27,FALSE)</f>
        <v>0</v>
      </c>
      <c r="AB32" s="43">
        <f>'Est gen ed 23 $$'!AB32/'Est gen ed 23 pos'!AB$123</f>
        <v>0</v>
      </c>
      <c r="AC32" s="43">
        <f>'Est gen ed 23 $$'!AC32/'Est gen ed 23 pos'!AC$123</f>
        <v>0</v>
      </c>
      <c r="AD32" s="43">
        <f>'Est gen ed 23 $$'!AD32/'Est gen ed 23 pos'!AD$123</f>
        <v>0</v>
      </c>
      <c r="AE32" s="43">
        <f>'Est gen ed 23 $$'!AE32/'Est gen ed 23 pos'!AE$123</f>
        <v>0</v>
      </c>
      <c r="AF32" s="34">
        <f>VLOOKUP($A32,'[1]Init $$'!$B$3:$CG$118,32,FALSE)</f>
        <v>1863576</v>
      </c>
      <c r="AG32" s="34">
        <f>VLOOKUP($A32,'[1]Init $$'!$B$3:$CG$118,33,FALSE)</f>
        <v>141375</v>
      </c>
      <c r="AH32" s="43">
        <f>'Est gen ed 23 $$'!AH32/'Est gen ed 23 pos'!AH$123</f>
        <v>1</v>
      </c>
      <c r="AI32" s="43">
        <f>'Est gen ed 23 $$'!AI32/'Est gen ed 23 pos'!AI$123</f>
        <v>1.9999999121515879</v>
      </c>
      <c r="AJ32" s="43">
        <f>'Est gen ed 23 $$'!AJ32/'Est gen ed 23 pos'!AJ$123</f>
        <v>3.9999998243031758</v>
      </c>
      <c r="AK32" s="43">
        <f>'Est gen ed 23 $$'!AK32/'Est gen ed 23 pos'!AK$123</f>
        <v>2.9999999121515879</v>
      </c>
      <c r="AL32" s="43">
        <f>'Est gen ed 23 $$'!AL32/'Est gen ed 23 pos'!AL$123</f>
        <v>5.9999994893586166</v>
      </c>
      <c r="AM32" s="43">
        <f>'Est gen ed 23 $$'!AM32/'Est gen ed 23 pos'!AM$123</f>
        <v>0</v>
      </c>
      <c r="AN32" s="43">
        <f>'Est gen ed 23 $$'!AN32/'Est gen ed 23 pos'!AN$123</f>
        <v>0</v>
      </c>
      <c r="AO32" s="43">
        <f>'Est gen ed 23 $$'!AO32/'Est gen ed 23 pos'!AO$123</f>
        <v>0</v>
      </c>
      <c r="AP32" s="34">
        <f>VLOOKUP($A32,'[1]Init $$'!$B$3:$CG$118,42,FALSE)</f>
        <v>107514</v>
      </c>
      <c r="AQ32" s="34">
        <f>VLOOKUP($A32,'[1]Init $$'!$B$3:$CG$118,43,FALSE)</f>
        <v>0</v>
      </c>
      <c r="AR32" s="43">
        <f>'Est gen ed 23 $$'!AR32/'Est gen ed 23 pos'!AR$123</f>
        <v>9.9999996486063516</v>
      </c>
      <c r="AS32" s="43">
        <f>'Est gen ed 23 $$'!AS32/'Est gen ed 23 pos'!AS$123</f>
        <v>0</v>
      </c>
      <c r="AT32" s="43">
        <f>'Est gen ed 23 $$'!AT32/'Est gen ed 23 pos'!AT$123</f>
        <v>0</v>
      </c>
      <c r="AU32" s="34">
        <f>VLOOKUP($A32,'[1]Init $$'!$B$3:$CG$118,47,FALSE)</f>
        <v>394218</v>
      </c>
      <c r="AV32" s="34">
        <f>VLOOKUP($A32,'[1]Init $$'!$B$3:$CG$118,48,FALSE)</f>
        <v>0</v>
      </c>
      <c r="AW32" s="34">
        <f>VLOOKUP($A32,'[1]Init $$'!$B$3:$CG$118,49,FALSE)</f>
        <v>0</v>
      </c>
      <c r="AX32" s="34">
        <f>VLOOKUP($A32,'[1]Init $$'!$B$3:$CG$118,50,FALSE)</f>
        <v>0</v>
      </c>
      <c r="AY32" s="34">
        <f>VLOOKUP($A32,'[1]Init $$'!$B$3:$CG$118,51,FALSE)</f>
        <v>0</v>
      </c>
      <c r="AZ32" s="34">
        <f>VLOOKUP($A32,'[1]Init $$'!$B$3:$CG$118,52,FALSE)</f>
        <v>0</v>
      </c>
      <c r="BA32" s="34">
        <f>VLOOKUP($A32,'[1]Init $$'!$B$3:$CG$118,53,FALSE)</f>
        <v>0</v>
      </c>
      <c r="BB32" s="34">
        <f>VLOOKUP($A32,'[1]Init $$'!$B$3:$CG$118,54,FALSE)</f>
        <v>0</v>
      </c>
      <c r="BC32" s="34">
        <f>VLOOKUP($A32,'[1]Init $$'!$B$3:$CG$118,55,FALSE)</f>
        <v>155860.18</v>
      </c>
      <c r="BD32" s="34">
        <f>VLOOKUP($A32,'[1]Init $$'!$B$3:$CG$118,56,FALSE)</f>
        <v>2510.52</v>
      </c>
      <c r="BE32" s="34">
        <f>VLOOKUP($A32,'[1]Init $$'!$B$3:$CG$118,57,FALSE)</f>
        <v>0</v>
      </c>
      <c r="BF32" s="43">
        <f>'Est gen ed 23 $$'!BF32/'Est gen ed 23 pos'!BF$123</f>
        <v>0</v>
      </c>
      <c r="BG32" s="43">
        <f>'Est gen ed 23 $$'!BG32/'Est gen ed 23 pos'!BG$123</f>
        <v>0</v>
      </c>
      <c r="BH32" s="34">
        <f>VLOOKUP($A32,'[1]Init $$'!$B$3:$CG$118,60,FALSE)</f>
        <v>0</v>
      </c>
      <c r="BI32" s="34">
        <f>VLOOKUP($A32,'[1]Init $$'!$B$3:$CG$118,61,FALSE)</f>
        <v>0</v>
      </c>
      <c r="BJ32" s="34">
        <f>VLOOKUP($A32,'[1]Init $$'!$B$3:$CG$118,62,FALSE)</f>
        <v>0</v>
      </c>
      <c r="BK32" s="43">
        <f>'Est gen ed 23 $$'!BK32/'Est gen ed 23 pos'!BK$123</f>
        <v>0</v>
      </c>
      <c r="BL32" s="34">
        <f>VLOOKUP($A32,'[1]Init $$'!$B$3:$CG$118,64,FALSE)</f>
        <v>0</v>
      </c>
      <c r="BM32" s="43">
        <f>'Est gen ed 23 $$'!BM32/'Est gen ed 23 pos'!BM$123</f>
        <v>0</v>
      </c>
      <c r="BN32" s="34">
        <f>VLOOKUP($A32,'[1]Init $$'!$B$3:$CG$118,66,FALSE)</f>
        <v>0</v>
      </c>
      <c r="BO32" s="43">
        <f>'Est gen ed 23 $$'!BO32/'Est gen ed 23 pos'!BO$123</f>
        <v>0</v>
      </c>
      <c r="BP32" s="34">
        <f>VLOOKUP($A32,'[1]Init $$'!$B$3:$CG$118,68,FALSE)</f>
        <v>0</v>
      </c>
      <c r="BQ32" s="43">
        <f>'Est gen ed 23 $$'!BQ32/'Est gen ed 23 pos'!BQ$123</f>
        <v>0</v>
      </c>
      <c r="BR32" s="43">
        <f>'Est gen ed 23 $$'!BR32/'Est gen ed 23 pos'!BR$123</f>
        <v>0</v>
      </c>
      <c r="BS32" s="34">
        <f>VLOOKUP($A32,'[1]Init $$'!$B$3:$CG$118,71,FALSE)</f>
        <v>0</v>
      </c>
      <c r="BT32" s="34">
        <f>VLOOKUP($A32,'[1]Init $$'!$B$3:$CG$118,72,FALSE)</f>
        <v>0</v>
      </c>
      <c r="BU32" s="34">
        <f>VLOOKUP($A32,'[1]Init $$'!$B$3:$CG$118,73,FALSE)</f>
        <v>15325</v>
      </c>
      <c r="BV32" s="34">
        <f>VLOOKUP($A32,'[1]Init $$'!$B$3:$CG$118,74,FALSE)</f>
        <v>0</v>
      </c>
      <c r="BW32" s="34">
        <f>VLOOKUP($A32,'[1]Init $$'!$B$3:$CG$118,75,FALSE)</f>
        <v>0</v>
      </c>
      <c r="BX32" s="43">
        <f>'Est gen ed 23 $$'!BX32/'Est gen ed 23 pos'!BX$123</f>
        <v>0</v>
      </c>
      <c r="BY32" s="43">
        <f>'Est gen ed 23 $$'!BY32/'Est gen ed 23 pos'!BY$123</f>
        <v>0</v>
      </c>
      <c r="BZ32" s="43">
        <f>'Est gen ed 23 $$'!BZ32/'Est gen ed 23 pos'!BZ$123</f>
        <v>0</v>
      </c>
      <c r="CA32" s="34">
        <f>VLOOKUP($A32,'[1]Init $$'!$B$3:$CG$118,79,FALSE)</f>
        <v>523088.28</v>
      </c>
      <c r="CB32" s="34">
        <f>VLOOKUP($A32,'[1]Init $$'!$B$3:$CG$118,80,FALSE)</f>
        <v>25086.6</v>
      </c>
      <c r="CC32" s="34">
        <f>VLOOKUP($A32,'[1]Init $$'!$B$3:$CG$118,81,FALSE)</f>
        <v>423449.97</v>
      </c>
      <c r="CD32" s="34">
        <f>VLOOKUP($A32,'[1]Init $$'!$B$3:$CG$118,82,FALSE)</f>
        <v>62617.38</v>
      </c>
      <c r="CE32" s="34">
        <f>VLOOKUP($A32,'[1]Init $$'!$B$3:$CG$118,83,FALSE)</f>
        <v>0</v>
      </c>
      <c r="CF32" s="34">
        <f>VLOOKUP($A32,'[1]Init $$'!$B$3:$CG$118,84,FALSE)</f>
        <v>75085.33</v>
      </c>
      <c r="CJ32" s="28">
        <f t="shared" si="2"/>
        <v>4016836.9099978646</v>
      </c>
      <c r="CK32" s="43">
        <f>'Est gen ed 23 $$'!CK32/'Est gen ed 23 pos'!CK$123</f>
        <v>0.99999604682144683</v>
      </c>
      <c r="CL32" s="43">
        <f>'Est gen ed 23 $$'!CL32/'Est gen ed 23 pos'!CL$123</f>
        <v>1.0874999999999999</v>
      </c>
      <c r="CM32" s="43">
        <f>'Est gen ed 23 $$'!CM32/'Est gen ed 23 pos'!CM$123</f>
        <v>1</v>
      </c>
      <c r="CN32" s="43">
        <f>'Est gen ed 23 $$'!CN32/'Est gen ed 23 pos'!CN$123</f>
        <v>0.91954022988505746</v>
      </c>
      <c r="CO32" s="43">
        <f>'Est gen ed 23 $$'!CO32/'Est gen ed 23 pos'!CO$123</f>
        <v>0</v>
      </c>
      <c r="CP32" s="43">
        <f>'Est gen ed 23 $$'!CP32/'Est gen ed 23 pos'!CP$123</f>
        <v>0</v>
      </c>
      <c r="CQ32" s="43">
        <f>'Est gen ed 23 $$'!CQ32/'Est gen ed 23 pos'!CQ$123</f>
        <v>1.4999940702321701</v>
      </c>
      <c r="CR32" s="43">
        <f>'Est gen ed 23 $$'!CR32/'Est gen ed 23 pos'!CR$123</f>
        <v>1.4999940702321701</v>
      </c>
      <c r="CS32" s="43">
        <f>'Est gen ed 23 $$'!CS32/'Est gen ed 23 pos'!CS$123</f>
        <v>1.9999920936428937</v>
      </c>
      <c r="CT32" s="43">
        <f>'Est gen ed 23 $$'!CT32/'Est gen ed 23 pos'!CT$123</f>
        <v>3</v>
      </c>
      <c r="CU32" s="43">
        <f>'Est gen ed 23 $$'!CU32/'Est gen ed 23 pos'!CU$123</f>
        <v>17</v>
      </c>
      <c r="CZ32" s="43">
        <f>'Est gen ed 23 $$'!CW32/'Est gen ed 23 pos'!CZ$123</f>
        <v>0</v>
      </c>
      <c r="DB32" s="28">
        <f t="shared" si="3"/>
        <v>1863576</v>
      </c>
      <c r="DC32" s="28">
        <f t="shared" si="0"/>
        <v>561152.67999999993</v>
      </c>
      <c r="DK32" s="34"/>
      <c r="DL32" s="34"/>
    </row>
    <row r="33" spans="1:116" x14ac:dyDescent="0.2">
      <c r="A33">
        <v>231</v>
      </c>
      <c r="B33" t="s">
        <v>96</v>
      </c>
      <c r="C33" t="s">
        <v>7</v>
      </c>
      <c r="D33">
        <v>7</v>
      </c>
      <c r="E33">
        <f>VLOOKUP($A33,'[1]Init $$'!$B$3:$CG$118,4,FALSE)</f>
        <v>192</v>
      </c>
      <c r="F33">
        <f>VLOOKUP($A33,'[1]Init $$'!$B$3:$CG$118,6,FALSE)</f>
        <v>140</v>
      </c>
      <c r="G33">
        <f>VLOOKUP($A33,'[2]$$xSchpostCouncilxLevel'!$A$4:$EW$120,153,FALSE)</f>
        <v>174</v>
      </c>
      <c r="H33" s="50">
        <f t="shared" si="1"/>
        <v>-34</v>
      </c>
      <c r="I33" s="4">
        <f>VLOOKUP($A33,'[1]Init $$'!$B$3:$CG$118,8,FALSE)</f>
        <v>0.78125</v>
      </c>
      <c r="J33">
        <f>VLOOKUP($A33,'[1]Init $$'!$B$3:$CG$118,7,FALSE)</f>
        <v>150</v>
      </c>
      <c r="K33" s="43">
        <f>'Est gen ed 23 $$'!K33/'Est gen ed 23 pos'!K$123</f>
        <v>1</v>
      </c>
      <c r="L33" s="43">
        <f>'Est gen ed 23 $$'!L33/'Est gen ed 23 pos'!L$123</f>
        <v>0</v>
      </c>
      <c r="M33" s="43">
        <f>'Est gen ed 23 $$'!M33/'Est gen ed 23 pos'!M$123</f>
        <v>0</v>
      </c>
      <c r="N33" s="43">
        <f>'Est gen ed 23 $$'!N33/'Est gen ed 23 pos'!N$123</f>
        <v>1</v>
      </c>
      <c r="O33" s="34">
        <f>VLOOKUP($A33,'[1]Init $$'!$B$3:$CG$118,15,FALSE)</f>
        <v>6456.75</v>
      </c>
      <c r="P33" s="43">
        <f>'Est gen ed 23 $$'!P33/'Est gen ed 23 pos'!P$123</f>
        <v>1</v>
      </c>
      <c r="Q33" s="43">
        <f>'Est gen ed 23 $$'!Q33/'Est gen ed 23 pos'!Q$123</f>
        <v>1</v>
      </c>
      <c r="R33" s="43">
        <f>'Est gen ed 23 $$'!R33/'Est gen ed 23 pos'!R$123</f>
        <v>1</v>
      </c>
      <c r="S33" s="43">
        <f>'Est gen ed 23 $$'!S33/'Est gen ed 23 pos'!S$123</f>
        <v>1</v>
      </c>
      <c r="T33" s="43">
        <f>'Est gen ed 23 $$'!T33/'Est gen ed 23 pos'!T$123</f>
        <v>1</v>
      </c>
      <c r="U33" s="43">
        <f>'Est gen ed 23 $$'!U33/'Est gen ed 23 pos'!U$123</f>
        <v>1</v>
      </c>
      <c r="V33" s="43">
        <f>'Est gen ed 23 $$'!V33/'Est gen ed 23 pos'!V$123</f>
        <v>1</v>
      </c>
      <c r="W33" s="43">
        <f>'Est gen ed 23 $$'!W33/'Est gen ed 23 pos'!W$123</f>
        <v>2.9999997446793083</v>
      </c>
      <c r="X33" s="34">
        <f>VLOOKUP($A33,'[1]Init $$'!$B$3:$CG$118,24,FALSE)</f>
        <v>93178.8</v>
      </c>
      <c r="Y33" s="34">
        <f>VLOOKUP($A33,'[1]Init $$'!$B$3:$CG$118,25,FALSE)</f>
        <v>0</v>
      </c>
      <c r="Z33" s="34">
        <f>VLOOKUP($A33,'[1]Init $$'!$B$3:$CG$118,26,FALSE)</f>
        <v>0</v>
      </c>
      <c r="AA33" s="34">
        <f>VLOOKUP($A33,'[1]Init $$'!$B$3:$CG$118,27,FALSE)</f>
        <v>0</v>
      </c>
      <c r="AB33" s="43">
        <f>'Est gen ed 23 $$'!AB33/'Est gen ed 23 pos'!AB$123</f>
        <v>0</v>
      </c>
      <c r="AC33" s="43">
        <f>'Est gen ed 23 $$'!AC33/'Est gen ed 23 pos'!AC$123</f>
        <v>0</v>
      </c>
      <c r="AD33" s="43">
        <f>'Est gen ed 23 $$'!AD33/'Est gen ed 23 pos'!AD$123</f>
        <v>0</v>
      </c>
      <c r="AE33" s="43">
        <f>'Est gen ed 23 $$'!AE33/'Est gen ed 23 pos'!AE$123</f>
        <v>0</v>
      </c>
      <c r="AF33" s="34">
        <f>VLOOKUP($A33,'[1]Init $$'!$B$3:$CG$118,32,FALSE)</f>
        <v>836220</v>
      </c>
      <c r="AG33" s="34">
        <f>VLOOKUP($A33,'[1]Init $$'!$B$3:$CG$118,33,FALSE)</f>
        <v>62400</v>
      </c>
      <c r="AH33" s="43">
        <f>'Est gen ed 23 $$'!AH33/'Est gen ed 23 pos'!AH$123</f>
        <v>1</v>
      </c>
      <c r="AI33" s="43">
        <f>'Est gen ed 23 $$'!AI33/'Est gen ed 23 pos'!AI$123</f>
        <v>1</v>
      </c>
      <c r="AJ33" s="43">
        <f>'Est gen ed 23 $$'!AJ33/'Est gen ed 23 pos'!AJ$123</f>
        <v>2.9999999121515879</v>
      </c>
      <c r="AK33" s="43">
        <f>'Est gen ed 23 $$'!AK33/'Est gen ed 23 pos'!AK$123</f>
        <v>2.9999999121515879</v>
      </c>
      <c r="AL33" s="43">
        <f>'Est gen ed 23 $$'!AL33/'Est gen ed 23 pos'!AL$123</f>
        <v>5.9999994893586166</v>
      </c>
      <c r="AM33" s="43">
        <f>'Est gen ed 23 $$'!AM33/'Est gen ed 23 pos'!AM$123</f>
        <v>0</v>
      </c>
      <c r="AN33" s="43">
        <f>'Est gen ed 23 $$'!AN33/'Est gen ed 23 pos'!AN$123</f>
        <v>0</v>
      </c>
      <c r="AO33" s="43">
        <f>'Est gen ed 23 $$'!AO33/'Est gen ed 23 pos'!AO$123</f>
        <v>0</v>
      </c>
      <c r="AP33" s="34">
        <f>VLOOKUP($A33,'[1]Init $$'!$B$3:$CG$118,42,FALSE)</f>
        <v>51965.1</v>
      </c>
      <c r="AQ33" s="34">
        <f>VLOOKUP($A33,'[1]Init $$'!$B$3:$CG$118,43,FALSE)</f>
        <v>0</v>
      </c>
      <c r="AR33" s="43">
        <f>'Est gen ed 23 $$'!AR33/'Est gen ed 23 pos'!AR$123</f>
        <v>0</v>
      </c>
      <c r="AS33" s="43">
        <f>'Est gen ed 23 $$'!AS33/'Est gen ed 23 pos'!AS$123</f>
        <v>0.22999996925305569</v>
      </c>
      <c r="AT33" s="43">
        <f>'Est gen ed 23 $$'!AT33/'Est gen ed 23 pos'!AT$123</f>
        <v>0</v>
      </c>
      <c r="AU33" s="34">
        <f>VLOOKUP($A33,'[1]Init $$'!$B$3:$CG$118,47,FALSE)</f>
        <v>8959.5</v>
      </c>
      <c r="AV33" s="34">
        <f>VLOOKUP($A33,'[1]Init $$'!$B$3:$CG$118,48,FALSE)</f>
        <v>13600</v>
      </c>
      <c r="AW33" s="34">
        <f>VLOOKUP($A33,'[1]Init $$'!$B$3:$CG$118,49,FALSE)</f>
        <v>6800</v>
      </c>
      <c r="AX33" s="34">
        <f>VLOOKUP($A33,'[1]Init $$'!$B$3:$CG$118,50,FALSE)</f>
        <v>10200</v>
      </c>
      <c r="AY33" s="34">
        <f>VLOOKUP($A33,'[1]Init $$'!$B$3:$CG$118,51,FALSE)</f>
        <v>0</v>
      </c>
      <c r="AZ33" s="34">
        <f>VLOOKUP($A33,'[1]Init $$'!$B$3:$CG$118,52,FALSE)</f>
        <v>13600</v>
      </c>
      <c r="BA33" s="34">
        <f>VLOOKUP($A33,'[1]Init $$'!$B$3:$CG$118,53,FALSE)</f>
        <v>0</v>
      </c>
      <c r="BB33" s="34">
        <f>VLOOKUP($A33,'[1]Init $$'!$B$3:$CG$118,54,FALSE)</f>
        <v>6800</v>
      </c>
      <c r="BC33" s="34">
        <f>VLOOKUP($A33,'[1]Init $$'!$B$3:$CG$118,55,FALSE)</f>
        <v>103906.79</v>
      </c>
      <c r="BD33" s="34">
        <f>VLOOKUP($A33,'[1]Init $$'!$B$3:$CG$118,56,FALSE)</f>
        <v>1673.68</v>
      </c>
      <c r="BE33" s="34">
        <f>VLOOKUP($A33,'[1]Init $$'!$B$3:$CG$118,57,FALSE)</f>
        <v>0</v>
      </c>
      <c r="BF33" s="43">
        <f>'Est gen ed 23 $$'!BF33/'Est gen ed 23 pos'!BF$123</f>
        <v>0</v>
      </c>
      <c r="BG33" s="43">
        <f>'Est gen ed 23 $$'!BG33/'Est gen ed 23 pos'!BG$123</f>
        <v>0</v>
      </c>
      <c r="BH33" s="34">
        <f>VLOOKUP($A33,'[1]Init $$'!$B$3:$CG$118,60,FALSE)</f>
        <v>0</v>
      </c>
      <c r="BI33" s="34">
        <f>VLOOKUP($A33,'[1]Init $$'!$B$3:$CG$118,61,FALSE)</f>
        <v>0</v>
      </c>
      <c r="BJ33" s="34">
        <f>VLOOKUP($A33,'[1]Init $$'!$B$3:$CG$118,62,FALSE)</f>
        <v>0</v>
      </c>
      <c r="BK33" s="43">
        <f>'Est gen ed 23 $$'!BK33/'Est gen ed 23 pos'!BK$123</f>
        <v>0</v>
      </c>
      <c r="BL33" s="34">
        <f>VLOOKUP($A33,'[1]Init $$'!$B$3:$CG$118,64,FALSE)</f>
        <v>0</v>
      </c>
      <c r="BM33" s="43">
        <f>'Est gen ed 23 $$'!BM33/'Est gen ed 23 pos'!BM$123</f>
        <v>0</v>
      </c>
      <c r="BN33" s="34">
        <f>VLOOKUP($A33,'[1]Init $$'!$B$3:$CG$118,66,FALSE)</f>
        <v>0</v>
      </c>
      <c r="BO33" s="43">
        <f>'Est gen ed 23 $$'!BO33/'Est gen ed 23 pos'!BO$123</f>
        <v>0</v>
      </c>
      <c r="BP33" s="34">
        <f>VLOOKUP($A33,'[1]Init $$'!$B$3:$CG$118,68,FALSE)</f>
        <v>0</v>
      </c>
      <c r="BQ33" s="43">
        <f>'Est gen ed 23 $$'!BQ33/'Est gen ed 23 pos'!BQ$123</f>
        <v>0</v>
      </c>
      <c r="BR33" s="43">
        <f>'Est gen ed 23 $$'!BR33/'Est gen ed 23 pos'!BR$123</f>
        <v>0</v>
      </c>
      <c r="BS33" s="34">
        <f>VLOOKUP($A33,'[1]Init $$'!$B$3:$CG$118,71,FALSE)</f>
        <v>0</v>
      </c>
      <c r="BT33" s="34">
        <f>VLOOKUP($A33,'[1]Init $$'!$B$3:$CG$118,72,FALSE)</f>
        <v>0</v>
      </c>
      <c r="BU33" s="34">
        <f>VLOOKUP($A33,'[1]Init $$'!$B$3:$CG$118,73,FALSE)</f>
        <v>15325</v>
      </c>
      <c r="BV33" s="34">
        <f>VLOOKUP($A33,'[1]Init $$'!$B$3:$CG$118,74,FALSE)</f>
        <v>0</v>
      </c>
      <c r="BW33" s="34">
        <f>VLOOKUP($A33,'[1]Init $$'!$B$3:$CG$118,75,FALSE)</f>
        <v>0</v>
      </c>
      <c r="BX33" s="43">
        <f>'Est gen ed 23 $$'!BX33/'Est gen ed 23 pos'!BX$123</f>
        <v>0</v>
      </c>
      <c r="BY33" s="43">
        <f>'Est gen ed 23 $$'!BY33/'Est gen ed 23 pos'!BY$123</f>
        <v>0</v>
      </c>
      <c r="BZ33" s="43">
        <f>'Est gen ed 23 $$'!BZ33/'Est gen ed 23 pos'!BZ$123</f>
        <v>0</v>
      </c>
      <c r="CA33" s="34">
        <f>VLOOKUP($A33,'[1]Init $$'!$B$3:$CG$118,79,FALSE)</f>
        <v>402375.6</v>
      </c>
      <c r="CB33" s="34">
        <f>VLOOKUP($A33,'[1]Init $$'!$B$3:$CG$118,80,FALSE)</f>
        <v>87444.72</v>
      </c>
      <c r="CC33" s="34">
        <f>VLOOKUP($A33,'[1]Init $$'!$B$3:$CG$118,81,FALSE)</f>
        <v>5799.04</v>
      </c>
      <c r="CD33" s="34">
        <f>VLOOKUP($A33,'[1]Init $$'!$B$3:$CG$118,82,FALSE)</f>
        <v>47129.71</v>
      </c>
      <c r="CE33" s="34">
        <f>VLOOKUP($A33,'[1]Init $$'!$B$3:$CG$118,83,FALSE)</f>
        <v>228017.71</v>
      </c>
      <c r="CF33" s="34">
        <f>VLOOKUP($A33,'[1]Init $$'!$B$3:$CG$118,84,FALSE)</f>
        <v>0</v>
      </c>
      <c r="CJ33" s="28">
        <f t="shared" si="2"/>
        <v>2001878.6299990274</v>
      </c>
      <c r="CK33" s="43">
        <f>'Est gen ed 23 $$'!CK33/'Est gen ed 23 pos'!CK$123</f>
        <v>0.99999604682144683</v>
      </c>
      <c r="CL33" s="43">
        <f>'Est gen ed 23 $$'!CL33/'Est gen ed 23 pos'!CL$123</f>
        <v>0</v>
      </c>
      <c r="CM33" s="43">
        <f>'Est gen ed 23 $$'!CM33/'Est gen ed 23 pos'!CM$123</f>
        <v>0.5</v>
      </c>
      <c r="CN33" s="43">
        <f>'Est gen ed 23 $$'!CN33/'Est gen ed 23 pos'!CN$123</f>
        <v>0</v>
      </c>
      <c r="CO33" s="43">
        <f>'Est gen ed 23 $$'!CO33/'Est gen ed 23 pos'!CO$123</f>
        <v>0</v>
      </c>
      <c r="CP33" s="43">
        <f>'Est gen ed 23 $$'!CP33/'Est gen ed 23 pos'!CP$123</f>
        <v>0</v>
      </c>
      <c r="CQ33" s="43">
        <f>'Est gen ed 23 $$'!CQ33/'Est gen ed 23 pos'!CQ$123</f>
        <v>0.99999604682144683</v>
      </c>
      <c r="CR33" s="43">
        <f>'Est gen ed 23 $$'!CR33/'Est gen ed 23 pos'!CR$123</f>
        <v>0.99999604682144683</v>
      </c>
      <c r="CS33" s="43">
        <f>'Est gen ed 23 $$'!CS33/'Est gen ed 23 pos'!CS$123</f>
        <v>0.99999604682144683</v>
      </c>
      <c r="CT33" s="43">
        <f>'Est gen ed 23 $$'!CT33/'Est gen ed 23 pos'!CT$123</f>
        <v>2</v>
      </c>
      <c r="CU33" s="43">
        <f>'Est gen ed 23 $$'!CU33/'Est gen ed 23 pos'!CU$123</f>
        <v>9</v>
      </c>
      <c r="CZ33" s="43">
        <f>'Est gen ed 23 $$'!CW33/'Est gen ed 23 pos'!CZ$123</f>
        <v>0</v>
      </c>
      <c r="DB33" s="28">
        <f t="shared" si="3"/>
        <v>836220</v>
      </c>
      <c r="DC33" s="28">
        <f t="shared" si="0"/>
        <v>280946.45999999996</v>
      </c>
      <c r="DK33" s="34"/>
      <c r="DL33" s="34"/>
    </row>
    <row r="34" spans="1:116" x14ac:dyDescent="0.2">
      <c r="A34">
        <v>467</v>
      </c>
      <c r="B34" t="s">
        <v>95</v>
      </c>
      <c r="C34" t="s">
        <v>1</v>
      </c>
      <c r="D34">
        <v>5</v>
      </c>
      <c r="E34">
        <f>VLOOKUP($A34,'[1]Init $$'!$B$3:$CG$118,4,FALSE)</f>
        <v>829</v>
      </c>
      <c r="F34">
        <f>VLOOKUP($A34,'[1]Init $$'!$B$3:$CG$118,6,FALSE)</f>
        <v>829</v>
      </c>
      <c r="G34">
        <f>VLOOKUP($A34,'[2]$$xSchpostCouncilxLevel'!$A$4:$EW$120,153,FALSE)</f>
        <v>662</v>
      </c>
      <c r="H34" s="50">
        <f t="shared" si="1"/>
        <v>167</v>
      </c>
      <c r="I34" s="4">
        <f>VLOOKUP($A34,'[1]Init $$'!$B$3:$CG$118,8,FALSE)</f>
        <v>0.7056694813027744</v>
      </c>
      <c r="J34">
        <f>VLOOKUP($A34,'[1]Init $$'!$B$3:$CG$118,7,FALSE)</f>
        <v>585</v>
      </c>
      <c r="K34" s="43">
        <f>'Est gen ed 23 $$'!K34/'Est gen ed 23 pos'!K$123</f>
        <v>1</v>
      </c>
      <c r="L34" s="43">
        <f>'Est gen ed 23 $$'!L34/'Est gen ed 23 pos'!L$123</f>
        <v>0</v>
      </c>
      <c r="M34" s="43">
        <f>'Est gen ed 23 $$'!M34/'Est gen ed 23 pos'!M$123</f>
        <v>3.4999981312049835</v>
      </c>
      <c r="N34" s="43">
        <f>'Est gen ed 23 $$'!N34/'Est gen ed 23 pos'!N$123</f>
        <v>1</v>
      </c>
      <c r="O34" s="34">
        <f>VLOOKUP($A34,'[1]Init $$'!$B$3:$CG$118,15,FALSE)</f>
        <v>25415.23</v>
      </c>
      <c r="P34" s="43">
        <f>'Est gen ed 23 $$'!P34/'Est gen ed 23 pos'!P$123</f>
        <v>1</v>
      </c>
      <c r="Q34" s="43">
        <f>'Est gen ed 23 $$'!Q34/'Est gen ed 23 pos'!Q$123</f>
        <v>1</v>
      </c>
      <c r="R34" s="43">
        <f>'Est gen ed 23 $$'!R34/'Est gen ed 23 pos'!R$123</f>
        <v>8.000000586083333</v>
      </c>
      <c r="S34" s="43">
        <f>'Est gen ed 23 $$'!S34/'Est gen ed 23 pos'!S$123</f>
        <v>1</v>
      </c>
      <c r="T34" s="43">
        <f>'Est gen ed 23 $$'!T34/'Est gen ed 23 pos'!T$123</f>
        <v>0</v>
      </c>
      <c r="U34" s="43">
        <f>'Est gen ed 23 $$'!U34/'Est gen ed 23 pos'!U$123</f>
        <v>0</v>
      </c>
      <c r="V34" s="43">
        <f>'Est gen ed 23 $$'!V34/'Est gen ed 23 pos'!V$123</f>
        <v>0</v>
      </c>
      <c r="W34" s="43">
        <f>'Est gen ed 23 $$'!W34/'Est gen ed 23 pos'!W$123</f>
        <v>0</v>
      </c>
      <c r="X34" s="34">
        <f>VLOOKUP($A34,'[1]Init $$'!$B$3:$CG$118,24,FALSE)</f>
        <v>0</v>
      </c>
      <c r="Y34" s="34">
        <f>VLOOKUP($A34,'[1]Init $$'!$B$3:$CG$118,25,FALSE)</f>
        <v>0</v>
      </c>
      <c r="Z34" s="34">
        <f>VLOOKUP($A34,'[1]Init $$'!$B$3:$CG$118,26,FALSE)</f>
        <v>0</v>
      </c>
      <c r="AA34" s="34">
        <f>VLOOKUP($A34,'[1]Init $$'!$B$3:$CG$118,27,FALSE)</f>
        <v>0</v>
      </c>
      <c r="AB34" s="43">
        <f>'Est gen ed 23 $$'!AB34/'Est gen ed 23 pos'!AB$123</f>
        <v>2.9999999121515879</v>
      </c>
      <c r="AC34" s="43">
        <f>'Est gen ed 23 $$'!AC34/'Est gen ed 23 pos'!AC$123</f>
        <v>0</v>
      </c>
      <c r="AD34" s="43">
        <f>'Est gen ed 23 $$'!AD34/'Est gen ed 23 pos'!AD$123</f>
        <v>0</v>
      </c>
      <c r="AE34" s="43">
        <f>'Est gen ed 23 $$'!AE34/'Est gen ed 23 pos'!AE$123</f>
        <v>1.9999999121515879</v>
      </c>
      <c r="AF34" s="34">
        <f>VLOOKUP($A34,'[1]Init $$'!$B$3:$CG$118,32,FALSE)</f>
        <v>4951617</v>
      </c>
      <c r="AG34" s="34">
        <f>VLOOKUP($A34,'[1]Init $$'!$B$3:$CG$118,33,FALSE)</f>
        <v>491597</v>
      </c>
      <c r="AH34" s="43">
        <f>'Est gen ed 23 $$'!AH34/'Est gen ed 23 pos'!AH$123</f>
        <v>1.9999999121515879</v>
      </c>
      <c r="AI34" s="43">
        <f>'Est gen ed 23 $$'!AI34/'Est gen ed 23 pos'!AI$123</f>
        <v>3.9999998243031758</v>
      </c>
      <c r="AJ34" s="43">
        <f>'Est gen ed 23 $$'!AJ34/'Est gen ed 23 pos'!AJ$123</f>
        <v>10.99999964860635</v>
      </c>
      <c r="AK34" s="43">
        <f>'Est gen ed 23 $$'!AK34/'Est gen ed 23 pos'!AK$123</f>
        <v>5.9999998243031758</v>
      </c>
      <c r="AL34" s="43">
        <f>'Est gen ed 23 $$'!AL34/'Est gen ed 23 pos'!AL$123</f>
        <v>7.999999234037924</v>
      </c>
      <c r="AM34" s="43">
        <f>'Est gen ed 23 $$'!AM34/'Est gen ed 23 pos'!AM$123</f>
        <v>0</v>
      </c>
      <c r="AN34" s="43">
        <f>'Est gen ed 23 $$'!AN34/'Est gen ed 23 pos'!AN$123</f>
        <v>1.0000010424267696</v>
      </c>
      <c r="AO34" s="43">
        <f>'Est gen ed 23 $$'!AO34/'Est gen ed 23 pos'!AO$123</f>
        <v>0</v>
      </c>
      <c r="AP34" s="34">
        <f>VLOOKUP($A34,'[1]Init $$'!$B$3:$CG$118,42,FALSE)</f>
        <v>315374.40000000002</v>
      </c>
      <c r="AQ34" s="34">
        <f>VLOOKUP($A34,'[1]Init $$'!$B$3:$CG$118,43,FALSE)</f>
        <v>0</v>
      </c>
      <c r="AR34" s="43">
        <f>'Est gen ed 23 $$'!AR34/'Est gen ed 23 pos'!AR$123</f>
        <v>1.9999999121515879</v>
      </c>
      <c r="AS34" s="43">
        <f>'Est gen ed 23 $$'!AS34/'Est gen ed 23 pos'!AS$123</f>
        <v>0</v>
      </c>
      <c r="AT34" s="43">
        <f>'Est gen ed 23 $$'!AT34/'Est gen ed 23 pos'!AT$123</f>
        <v>0</v>
      </c>
      <c r="AU34" s="34">
        <f>VLOOKUP($A34,'[1]Init $$'!$B$3:$CG$118,47,FALSE)</f>
        <v>60924.6</v>
      </c>
      <c r="AV34" s="34">
        <f>VLOOKUP($A34,'[1]Init $$'!$B$3:$CG$118,48,FALSE)</f>
        <v>0</v>
      </c>
      <c r="AW34" s="34">
        <f>VLOOKUP($A34,'[1]Init $$'!$B$3:$CG$118,49,FALSE)</f>
        <v>0</v>
      </c>
      <c r="AX34" s="34">
        <f>VLOOKUP($A34,'[1]Init $$'!$B$3:$CG$118,50,FALSE)</f>
        <v>0</v>
      </c>
      <c r="AY34" s="34">
        <f>VLOOKUP($A34,'[1]Init $$'!$B$3:$CG$118,51,FALSE)</f>
        <v>75000</v>
      </c>
      <c r="AZ34" s="34">
        <f>VLOOKUP($A34,'[1]Init $$'!$B$3:$CG$118,52,FALSE)</f>
        <v>0</v>
      </c>
      <c r="BA34" s="34">
        <f>VLOOKUP($A34,'[1]Init $$'!$B$3:$CG$118,53,FALSE)</f>
        <v>0</v>
      </c>
      <c r="BB34" s="34">
        <f>VLOOKUP($A34,'[1]Init $$'!$B$3:$CG$118,54,FALSE)</f>
        <v>0</v>
      </c>
      <c r="BC34" s="34">
        <f>VLOOKUP($A34,'[1]Init $$'!$B$3:$CG$118,55,FALSE)</f>
        <v>369734.98</v>
      </c>
      <c r="BD34" s="34">
        <f>VLOOKUP($A34,'[1]Init $$'!$B$3:$CG$118,56,FALSE)</f>
        <v>5955.52</v>
      </c>
      <c r="BE34" s="34">
        <f>VLOOKUP($A34,'[1]Init $$'!$B$3:$CG$118,57,FALSE)</f>
        <v>0</v>
      </c>
      <c r="BF34" s="43">
        <f>'Est gen ed 23 $$'!BF34/'Est gen ed 23 pos'!BF$123</f>
        <v>0</v>
      </c>
      <c r="BG34" s="43">
        <f>'Est gen ed 23 $$'!BG34/'Est gen ed 23 pos'!BG$123</f>
        <v>0.99999886478304745</v>
      </c>
      <c r="BH34" s="34">
        <f>VLOOKUP($A34,'[1]Init $$'!$B$3:$CG$118,60,FALSE)</f>
        <v>12216.09</v>
      </c>
      <c r="BI34" s="34">
        <f>VLOOKUP($A34,'[1]Init $$'!$B$3:$CG$118,61,FALSE)</f>
        <v>23000</v>
      </c>
      <c r="BJ34" s="34">
        <f>VLOOKUP($A34,'[1]Init $$'!$B$3:$CG$118,62,FALSE)</f>
        <v>39600</v>
      </c>
      <c r="BK34" s="43">
        <f>'Est gen ed 23 $$'!BK34/'Est gen ed 23 pos'!BK$123</f>
        <v>0</v>
      </c>
      <c r="BL34" s="34">
        <f>VLOOKUP($A34,'[1]Init $$'!$B$3:$CG$118,64,FALSE)</f>
        <v>0</v>
      </c>
      <c r="BM34" s="43">
        <f>'Est gen ed 23 $$'!BM34/'Est gen ed 23 pos'!BM$123</f>
        <v>0</v>
      </c>
      <c r="BN34" s="34">
        <f>VLOOKUP($A34,'[1]Init $$'!$B$3:$CG$118,66,FALSE)</f>
        <v>0</v>
      </c>
      <c r="BO34" s="43">
        <f>'Est gen ed 23 $$'!BO34/'Est gen ed 23 pos'!BO$123</f>
        <v>0</v>
      </c>
      <c r="BP34" s="34">
        <f>VLOOKUP($A34,'[1]Init $$'!$B$3:$CG$118,68,FALSE)</f>
        <v>0</v>
      </c>
      <c r="BQ34" s="43">
        <f>'Est gen ed 23 $$'!BQ34/'Est gen ed 23 pos'!BQ$123</f>
        <v>1</v>
      </c>
      <c r="BR34" s="43">
        <f>'Est gen ed 23 $$'!BR34/'Est gen ed 23 pos'!BR$123</f>
        <v>0</v>
      </c>
      <c r="BS34" s="34">
        <f>VLOOKUP($A34,'[1]Init $$'!$B$3:$CG$118,71,FALSE)</f>
        <v>140941</v>
      </c>
      <c r="BT34" s="34">
        <f>VLOOKUP($A34,'[1]Init $$'!$B$3:$CG$118,72,FALSE)</f>
        <v>5000</v>
      </c>
      <c r="BU34" s="34">
        <f>VLOOKUP($A34,'[1]Init $$'!$B$3:$CG$118,73,FALSE)</f>
        <v>0</v>
      </c>
      <c r="BV34" s="34">
        <f>VLOOKUP($A34,'[1]Init $$'!$B$3:$CG$118,74,FALSE)</f>
        <v>0</v>
      </c>
      <c r="BW34" s="34">
        <f>VLOOKUP($A34,'[1]Init $$'!$B$3:$CG$118,75,FALSE)</f>
        <v>244049</v>
      </c>
      <c r="BX34" s="43">
        <f>'Est gen ed 23 $$'!BX34/'Est gen ed 23 pos'!BX$123</f>
        <v>1.0000041250219776</v>
      </c>
      <c r="BY34" s="43">
        <f>'Est gen ed 23 $$'!BY34/'Est gen ed 23 pos'!BY$123</f>
        <v>0</v>
      </c>
      <c r="BZ34" s="43">
        <f>'Est gen ed 23 $$'!BZ34/'Est gen ed 23 pos'!BZ$123</f>
        <v>0</v>
      </c>
      <c r="CA34" s="34">
        <f>VLOOKUP($A34,'[1]Init $$'!$B$3:$CG$118,79,FALSE)</f>
        <v>1711437.55</v>
      </c>
      <c r="CB34" s="34">
        <f>VLOOKUP($A34,'[1]Init $$'!$B$3:$CG$118,80,FALSE)</f>
        <v>308326.26</v>
      </c>
      <c r="CC34" s="34">
        <f>VLOOKUP($A34,'[1]Init $$'!$B$3:$CG$118,81,FALSE)</f>
        <v>0</v>
      </c>
      <c r="CD34" s="34">
        <f>VLOOKUP($A34,'[1]Init $$'!$B$3:$CG$118,82,FALSE)</f>
        <v>0</v>
      </c>
      <c r="CE34" s="34">
        <f>VLOOKUP($A34,'[1]Init $$'!$B$3:$CG$118,83,FALSE)</f>
        <v>0</v>
      </c>
      <c r="CF34" s="34">
        <f>VLOOKUP($A34,'[1]Init $$'!$B$3:$CG$118,84,FALSE)</f>
        <v>0</v>
      </c>
      <c r="CJ34" s="28">
        <f t="shared" si="2"/>
        <v>8780247.1300009303</v>
      </c>
      <c r="CK34" s="43">
        <f>'Est gen ed 23 $$'!CK34/'Est gen ed 23 pos'!CK$123</f>
        <v>0.99999604682144683</v>
      </c>
      <c r="CL34" s="43">
        <f>'Est gen ed 23 $$'!CL34/'Est gen ed 23 pos'!CL$123</f>
        <v>2.7633333333333332</v>
      </c>
      <c r="CM34" s="43">
        <f>'Est gen ed 23 $$'!CM34/'Est gen ed 23 pos'!CM$123</f>
        <v>1</v>
      </c>
      <c r="CN34" s="43">
        <f>'Est gen ed 23 $$'!CN34/'Est gen ed 23 pos'!CN$123</f>
        <v>0.4825090470446321</v>
      </c>
      <c r="CO34" s="43">
        <f>'Est gen ed 23 $$'!CO34/'Est gen ed 23 pos'!CO$123</f>
        <v>1</v>
      </c>
      <c r="CP34" s="43">
        <f>'Est gen ed 23 $$'!CP34/'Est gen ed 23 pos'!CP$123</f>
        <v>1</v>
      </c>
      <c r="CQ34" s="43">
        <f>'Est gen ed 23 $$'!CQ34/'Est gen ed 23 pos'!CQ$123</f>
        <v>0</v>
      </c>
      <c r="CR34" s="43">
        <f>'Est gen ed 23 $$'!CR34/'Est gen ed 23 pos'!CR$123</f>
        <v>0</v>
      </c>
      <c r="CS34" s="43">
        <f>'Est gen ed 23 $$'!CS34/'Est gen ed 23 pos'!CS$123</f>
        <v>0</v>
      </c>
      <c r="CT34" s="43">
        <f>'Est gen ed 23 $$'!CT34/'Est gen ed 23 pos'!CT$123</f>
        <v>0</v>
      </c>
      <c r="CU34" s="43">
        <f>'Est gen ed 23 $$'!CU34/'Est gen ed 23 pos'!CU$123</f>
        <v>46.999999999999993</v>
      </c>
      <c r="CZ34" s="43">
        <f>'Est gen ed 23 $$'!CW34/'Est gen ed 23 pos'!CZ$123</f>
        <v>0.9999965685612755</v>
      </c>
      <c r="DB34" s="28">
        <f t="shared" si="3"/>
        <v>4951617</v>
      </c>
      <c r="DC34" s="28">
        <f t="shared" si="0"/>
        <v>0</v>
      </c>
      <c r="DK34" s="34"/>
      <c r="DL34" s="34"/>
    </row>
    <row r="35" spans="1:116" x14ac:dyDescent="0.2">
      <c r="A35">
        <v>457</v>
      </c>
      <c r="B35" t="s">
        <v>94</v>
      </c>
      <c r="C35" t="s">
        <v>1</v>
      </c>
      <c r="D35">
        <v>6</v>
      </c>
      <c r="E35">
        <f>VLOOKUP($A35,'[1]Init $$'!$B$3:$CG$118,4,FALSE)</f>
        <v>768</v>
      </c>
      <c r="F35">
        <f>VLOOKUP($A35,'[1]Init $$'!$B$3:$CG$118,6,FALSE)</f>
        <v>768</v>
      </c>
      <c r="G35">
        <f>VLOOKUP($A35,'[2]$$xSchpostCouncilxLevel'!$A$4:$EW$120,153,FALSE)</f>
        <v>770</v>
      </c>
      <c r="H35" s="50">
        <f t="shared" si="1"/>
        <v>-2</v>
      </c>
      <c r="I35" s="4">
        <f>VLOOKUP($A35,'[1]Init $$'!$B$3:$CG$118,8,FALSE)</f>
        <v>0.73697916666666663</v>
      </c>
      <c r="J35">
        <f>VLOOKUP($A35,'[1]Init $$'!$B$3:$CG$118,7,FALSE)</f>
        <v>566</v>
      </c>
      <c r="K35" s="43">
        <f>'Est gen ed 23 $$'!K35/'Est gen ed 23 pos'!K$123</f>
        <v>1</v>
      </c>
      <c r="L35" s="43">
        <f>'Est gen ed 23 $$'!L35/'Est gen ed 23 pos'!L$123</f>
        <v>0</v>
      </c>
      <c r="M35" s="43">
        <f>'Est gen ed 23 $$'!M35/'Est gen ed 23 pos'!M$123</f>
        <v>3.4999981312049835</v>
      </c>
      <c r="N35" s="43">
        <f>'Est gen ed 23 $$'!N35/'Est gen ed 23 pos'!N$123</f>
        <v>1</v>
      </c>
      <c r="O35" s="34">
        <f>VLOOKUP($A35,'[1]Init $$'!$B$3:$CG$118,15,FALSE)</f>
        <v>26995.83</v>
      </c>
      <c r="P35" s="43">
        <f>'Est gen ed 23 $$'!P35/'Est gen ed 23 pos'!P$123</f>
        <v>1</v>
      </c>
      <c r="Q35" s="43">
        <f>'Est gen ed 23 $$'!Q35/'Est gen ed 23 pos'!Q$123</f>
        <v>1</v>
      </c>
      <c r="R35" s="43">
        <f>'Est gen ed 23 $$'!R35/'Est gen ed 23 pos'!R$123</f>
        <v>9.0000007814444452</v>
      </c>
      <c r="S35" s="43">
        <f>'Est gen ed 23 $$'!S35/'Est gen ed 23 pos'!S$123</f>
        <v>1</v>
      </c>
      <c r="T35" s="43">
        <f>'Est gen ed 23 $$'!T35/'Est gen ed 23 pos'!T$123</f>
        <v>0</v>
      </c>
      <c r="U35" s="43">
        <f>'Est gen ed 23 $$'!U35/'Est gen ed 23 pos'!U$123</f>
        <v>0</v>
      </c>
      <c r="V35" s="43">
        <f>'Est gen ed 23 $$'!V35/'Est gen ed 23 pos'!V$123</f>
        <v>0</v>
      </c>
      <c r="W35" s="43">
        <f>'Est gen ed 23 $$'!W35/'Est gen ed 23 pos'!W$123</f>
        <v>0</v>
      </c>
      <c r="X35" s="34">
        <f>VLOOKUP($A35,'[1]Init $$'!$B$3:$CG$118,24,FALSE)</f>
        <v>0</v>
      </c>
      <c r="Y35" s="34">
        <f>VLOOKUP($A35,'[1]Init $$'!$B$3:$CG$118,25,FALSE)</f>
        <v>0</v>
      </c>
      <c r="Z35" s="34">
        <f>VLOOKUP($A35,'[1]Init $$'!$B$3:$CG$118,26,FALSE)</f>
        <v>0</v>
      </c>
      <c r="AA35" s="34">
        <f>VLOOKUP($A35,'[1]Init $$'!$B$3:$CG$118,27,FALSE)</f>
        <v>0</v>
      </c>
      <c r="AB35" s="43">
        <f>'Est gen ed 23 $$'!AB35/'Est gen ed 23 pos'!AB$123</f>
        <v>1</v>
      </c>
      <c r="AC35" s="43">
        <f>'Est gen ed 23 $$'!AC35/'Est gen ed 23 pos'!AC$123</f>
        <v>0.75470483153090351</v>
      </c>
      <c r="AD35" s="43">
        <f>'Est gen ed 23 $$'!AD35/'Est gen ed 23 pos'!AD$123</f>
        <v>0</v>
      </c>
      <c r="AE35" s="43">
        <f>'Est gen ed 23 $$'!AE35/'Est gen ed 23 pos'!AE$123</f>
        <v>1.9999999121515879</v>
      </c>
      <c r="AF35" s="34">
        <f>VLOOKUP($A35,'[1]Init $$'!$B$3:$CG$118,32,FALSE)</f>
        <v>4587264</v>
      </c>
      <c r="AG35" s="34">
        <f>VLOOKUP($A35,'[1]Init $$'!$B$3:$CG$118,33,FALSE)</f>
        <v>455424</v>
      </c>
      <c r="AH35" s="43">
        <f>'Est gen ed 23 $$'!AH35/'Est gen ed 23 pos'!AH$123</f>
        <v>1.9999999121515879</v>
      </c>
      <c r="AI35" s="43">
        <f>'Est gen ed 23 $$'!AI35/'Est gen ed 23 pos'!AI$123</f>
        <v>4.9999998243031758</v>
      </c>
      <c r="AJ35" s="43">
        <f>'Est gen ed 23 $$'!AJ35/'Est gen ed 23 pos'!AJ$123</f>
        <v>12.999999560757939</v>
      </c>
      <c r="AK35" s="43">
        <f>'Est gen ed 23 $$'!AK35/'Est gen ed 23 pos'!AK$123</f>
        <v>9.9999996486063516</v>
      </c>
      <c r="AL35" s="43">
        <f>'Est gen ed 23 $$'!AL35/'Est gen ed 23 pos'!AL$123</f>
        <v>12.999998978717233</v>
      </c>
      <c r="AM35" s="43">
        <f>'Est gen ed 23 $$'!AM35/'Est gen ed 23 pos'!AM$123</f>
        <v>0</v>
      </c>
      <c r="AN35" s="43">
        <f>'Est gen ed 23 $$'!AN35/'Est gen ed 23 pos'!AN$123</f>
        <v>2.0000019111157443</v>
      </c>
      <c r="AO35" s="43">
        <f>'Est gen ed 23 $$'!AO35/'Est gen ed 23 pos'!AO$123</f>
        <v>0</v>
      </c>
      <c r="AP35" s="34">
        <f>VLOOKUP($A35,'[1]Init $$'!$B$3:$CG$118,42,FALSE)</f>
        <v>424680.3</v>
      </c>
      <c r="AQ35" s="34">
        <f>VLOOKUP($A35,'[1]Init $$'!$B$3:$CG$118,43,FALSE)</f>
        <v>0</v>
      </c>
      <c r="AR35" s="43">
        <f>'Est gen ed 23 $$'!AR35/'Est gen ed 23 pos'!AR$123</f>
        <v>1.9999999121515879</v>
      </c>
      <c r="AS35" s="43">
        <f>'Est gen ed 23 $$'!AS35/'Est gen ed 23 pos'!AS$123</f>
        <v>0</v>
      </c>
      <c r="AT35" s="43">
        <f>'Est gen ed 23 $$'!AT35/'Est gen ed 23 pos'!AT$123</f>
        <v>0</v>
      </c>
      <c r="AU35" s="34">
        <f>VLOOKUP($A35,'[1]Init $$'!$B$3:$CG$118,47,FALSE)</f>
        <v>60924.6</v>
      </c>
      <c r="AV35" s="34">
        <f>VLOOKUP($A35,'[1]Init $$'!$B$3:$CG$118,48,FALSE)</f>
        <v>0</v>
      </c>
      <c r="AW35" s="34">
        <f>VLOOKUP($A35,'[1]Init $$'!$B$3:$CG$118,49,FALSE)</f>
        <v>0</v>
      </c>
      <c r="AX35" s="34">
        <f>VLOOKUP($A35,'[1]Init $$'!$B$3:$CG$118,50,FALSE)</f>
        <v>0</v>
      </c>
      <c r="AY35" s="34">
        <f>VLOOKUP($A35,'[1]Init $$'!$B$3:$CG$118,51,FALSE)</f>
        <v>65000</v>
      </c>
      <c r="AZ35" s="34">
        <f>VLOOKUP($A35,'[1]Init $$'!$B$3:$CG$118,52,FALSE)</f>
        <v>0</v>
      </c>
      <c r="BA35" s="34">
        <f>VLOOKUP($A35,'[1]Init $$'!$B$3:$CG$118,53,FALSE)</f>
        <v>0</v>
      </c>
      <c r="BB35" s="34">
        <f>VLOOKUP($A35,'[1]Init $$'!$B$3:$CG$118,54,FALSE)</f>
        <v>0</v>
      </c>
      <c r="BC35" s="34">
        <f>VLOOKUP($A35,'[1]Init $$'!$B$3:$CG$118,55,FALSE)</f>
        <v>395711.68</v>
      </c>
      <c r="BD35" s="34">
        <f>VLOOKUP($A35,'[1]Init $$'!$B$3:$CG$118,56,FALSE)</f>
        <v>6373.94</v>
      </c>
      <c r="BE35" s="34">
        <f>VLOOKUP($A35,'[1]Init $$'!$B$3:$CG$118,57,FALSE)</f>
        <v>0</v>
      </c>
      <c r="BF35" s="43">
        <f>'Est gen ed 23 $$'!BF35/'Est gen ed 23 pos'!BF$123</f>
        <v>0</v>
      </c>
      <c r="BG35" s="43">
        <f>'Est gen ed 23 $$'!BG35/'Est gen ed 23 pos'!BG$123</f>
        <v>0.99999886478304745</v>
      </c>
      <c r="BH35" s="34">
        <f>VLOOKUP($A35,'[1]Init $$'!$B$3:$CG$118,60,FALSE)</f>
        <v>25716.09</v>
      </c>
      <c r="BI35" s="34">
        <f>VLOOKUP($A35,'[1]Init $$'!$B$3:$CG$118,61,FALSE)</f>
        <v>19500</v>
      </c>
      <c r="BJ35" s="34">
        <f>VLOOKUP($A35,'[1]Init $$'!$B$3:$CG$118,62,FALSE)</f>
        <v>17200</v>
      </c>
      <c r="BK35" s="43">
        <f>'Est gen ed 23 $$'!BK35/'Est gen ed 23 pos'!BK$123</f>
        <v>1</v>
      </c>
      <c r="BL35" s="34">
        <f>VLOOKUP($A35,'[1]Init $$'!$B$3:$CG$118,64,FALSE)</f>
        <v>31287</v>
      </c>
      <c r="BM35" s="43">
        <f>'Est gen ed 23 $$'!BM35/'Est gen ed 23 pos'!BM$123</f>
        <v>0</v>
      </c>
      <c r="BN35" s="34">
        <f>VLOOKUP($A35,'[1]Init $$'!$B$3:$CG$118,66,FALSE)</f>
        <v>0</v>
      </c>
      <c r="BO35" s="43">
        <f>'Est gen ed 23 $$'!BO35/'Est gen ed 23 pos'!BO$123</f>
        <v>0</v>
      </c>
      <c r="BP35" s="34">
        <f>VLOOKUP($A35,'[1]Init $$'!$B$3:$CG$118,68,FALSE)</f>
        <v>0</v>
      </c>
      <c r="BQ35" s="43">
        <f>'Est gen ed 23 $$'!BQ35/'Est gen ed 23 pos'!BQ$123</f>
        <v>0</v>
      </c>
      <c r="BR35" s="43">
        <f>'Est gen ed 23 $$'!BR35/'Est gen ed 23 pos'!BR$123</f>
        <v>0</v>
      </c>
      <c r="BS35" s="34">
        <f>VLOOKUP($A35,'[1]Init $$'!$B$3:$CG$118,71,FALSE)</f>
        <v>0</v>
      </c>
      <c r="BT35" s="34">
        <f>VLOOKUP($A35,'[1]Init $$'!$B$3:$CG$118,72,FALSE)</f>
        <v>0</v>
      </c>
      <c r="BU35" s="34">
        <f>VLOOKUP($A35,'[1]Init $$'!$B$3:$CG$118,73,FALSE)</f>
        <v>0</v>
      </c>
      <c r="BV35" s="34">
        <f>VLOOKUP($A35,'[1]Init $$'!$B$3:$CG$118,74,FALSE)</f>
        <v>0</v>
      </c>
      <c r="BW35" s="34">
        <f>VLOOKUP($A35,'[1]Init $$'!$B$3:$CG$118,75,FALSE)</f>
        <v>76280</v>
      </c>
      <c r="BX35" s="43">
        <f>'Est gen ed 23 $$'!BX35/'Est gen ed 23 pos'!BX$123</f>
        <v>1.0000041250219776</v>
      </c>
      <c r="BY35" s="43">
        <f>'Est gen ed 23 $$'!BY35/'Est gen ed 23 pos'!BY$123</f>
        <v>0</v>
      </c>
      <c r="BZ35" s="43">
        <f>'Est gen ed 23 $$'!BZ35/'Est gen ed 23 pos'!BZ$123</f>
        <v>0</v>
      </c>
      <c r="CA35" s="34">
        <f>VLOOKUP($A35,'[1]Init $$'!$B$3:$CG$118,79,FALSE)</f>
        <v>1720155.69</v>
      </c>
      <c r="CB35" s="34">
        <f>VLOOKUP($A35,'[1]Init $$'!$B$3:$CG$118,80,FALSE)</f>
        <v>343089.12</v>
      </c>
      <c r="CC35" s="34">
        <f>VLOOKUP($A35,'[1]Init $$'!$B$3:$CG$118,81,FALSE)</f>
        <v>0</v>
      </c>
      <c r="CD35" s="34">
        <f>VLOOKUP($A35,'[1]Init $$'!$B$3:$CG$118,82,FALSE)</f>
        <v>0</v>
      </c>
      <c r="CE35" s="34">
        <f>VLOOKUP($A35,'[1]Init $$'!$B$3:$CG$118,83,FALSE)</f>
        <v>0</v>
      </c>
      <c r="CF35" s="34">
        <f>VLOOKUP($A35,'[1]Init $$'!$B$3:$CG$118,84,FALSE)</f>
        <v>0</v>
      </c>
      <c r="CJ35" s="28">
        <f t="shared" si="2"/>
        <v>8255673.504706393</v>
      </c>
      <c r="CK35" s="43">
        <f>'Est gen ed 23 $$'!CK35/'Est gen ed 23 pos'!CK$123</f>
        <v>0.99999604682144683</v>
      </c>
      <c r="CL35" s="43">
        <f>'Est gen ed 23 $$'!CL35/'Est gen ed 23 pos'!CL$123</f>
        <v>2.56</v>
      </c>
      <c r="CM35" s="43">
        <f>'Est gen ed 23 $$'!CM35/'Est gen ed 23 pos'!CM$123</f>
        <v>1</v>
      </c>
      <c r="CN35" s="43">
        <f>'Est gen ed 23 $$'!CN35/'Est gen ed 23 pos'!CN$123</f>
        <v>0.52083333333333337</v>
      </c>
      <c r="CO35" s="43">
        <f>'Est gen ed 23 $$'!CO35/'Est gen ed 23 pos'!CO$123</f>
        <v>1</v>
      </c>
      <c r="CP35" s="43">
        <f>'Est gen ed 23 $$'!CP35/'Est gen ed 23 pos'!CP$123</f>
        <v>1</v>
      </c>
      <c r="CQ35" s="43">
        <f>'Est gen ed 23 $$'!CQ35/'Est gen ed 23 pos'!CQ$123</f>
        <v>0</v>
      </c>
      <c r="CR35" s="43">
        <f>'Est gen ed 23 $$'!CR35/'Est gen ed 23 pos'!CR$123</f>
        <v>0</v>
      </c>
      <c r="CS35" s="43">
        <f>'Est gen ed 23 $$'!CS35/'Est gen ed 23 pos'!CS$123</f>
        <v>0</v>
      </c>
      <c r="CT35" s="43">
        <f>'Est gen ed 23 $$'!CT35/'Est gen ed 23 pos'!CT$123</f>
        <v>0</v>
      </c>
      <c r="CU35" s="43">
        <f>'Est gen ed 23 $$'!CU35/'Est gen ed 23 pos'!CU$123</f>
        <v>43</v>
      </c>
      <c r="CZ35" s="43">
        <f>'Est gen ed 23 $$'!CW35/'Est gen ed 23 pos'!CZ$123</f>
        <v>0.9999965685612755</v>
      </c>
      <c r="DB35" s="28">
        <f t="shared" si="3"/>
        <v>4587264</v>
      </c>
      <c r="DC35" s="28">
        <f t="shared" si="0"/>
        <v>0</v>
      </c>
      <c r="DK35" s="34"/>
      <c r="DL35" s="34"/>
    </row>
    <row r="36" spans="1:116" x14ac:dyDescent="0.2">
      <c r="A36">
        <v>232</v>
      </c>
      <c r="B36" t="s">
        <v>93</v>
      </c>
      <c r="C36" t="s">
        <v>7</v>
      </c>
      <c r="D36">
        <v>3</v>
      </c>
      <c r="E36">
        <f>VLOOKUP($A36,'[1]Init $$'!$B$3:$CG$118,4,FALSE)</f>
        <v>419</v>
      </c>
      <c r="F36">
        <f>VLOOKUP($A36,'[1]Init $$'!$B$3:$CG$118,6,FALSE)</f>
        <v>380</v>
      </c>
      <c r="G36">
        <f>VLOOKUP($A36,'[2]$$xSchpostCouncilxLevel'!$A$4:$EW$120,153,FALSE)</f>
        <v>406</v>
      </c>
      <c r="H36" s="50">
        <f t="shared" si="1"/>
        <v>-26</v>
      </c>
      <c r="I36" s="4">
        <f>VLOOKUP($A36,'[1]Init $$'!$B$3:$CG$118,8,FALSE)</f>
        <v>7.6372315035799526E-2</v>
      </c>
      <c r="J36">
        <f>VLOOKUP($A36,'[1]Init $$'!$B$3:$CG$118,7,FALSE)</f>
        <v>32</v>
      </c>
      <c r="K36" s="43">
        <f>'Est gen ed 23 $$'!K36/'Est gen ed 23 pos'!K$123</f>
        <v>1</v>
      </c>
      <c r="L36" s="43">
        <f>'Est gen ed 23 $$'!L36/'Est gen ed 23 pos'!L$123</f>
        <v>0</v>
      </c>
      <c r="M36" s="43">
        <f>'Est gen ed 23 $$'!M36/'Est gen ed 23 pos'!M$123</f>
        <v>0</v>
      </c>
      <c r="N36" s="43">
        <f>'Est gen ed 23 $$'!N36/'Est gen ed 23 pos'!N$123</f>
        <v>1</v>
      </c>
      <c r="O36" s="34">
        <f>VLOOKUP($A36,'[1]Init $$'!$B$3:$CG$118,15,FALSE)</f>
        <v>6988.6</v>
      </c>
      <c r="P36" s="43">
        <f>'Est gen ed 23 $$'!P36/'Est gen ed 23 pos'!P$123</f>
        <v>1</v>
      </c>
      <c r="Q36" s="43">
        <f>'Est gen ed 23 $$'!Q36/'Est gen ed 23 pos'!Q$123</f>
        <v>1</v>
      </c>
      <c r="R36" s="43">
        <f>'Est gen ed 23 $$'!R36/'Est gen ed 23 pos'!R$123</f>
        <v>2.0000001953611113</v>
      </c>
      <c r="S36" s="43">
        <f>'Est gen ed 23 $$'!S36/'Est gen ed 23 pos'!S$123</f>
        <v>1</v>
      </c>
      <c r="T36" s="43">
        <f>'Est gen ed 23 $$'!T36/'Est gen ed 23 pos'!T$123</f>
        <v>0</v>
      </c>
      <c r="U36" s="43">
        <f>'Est gen ed 23 $$'!U36/'Est gen ed 23 pos'!U$123</f>
        <v>0</v>
      </c>
      <c r="V36" s="43">
        <f>'Est gen ed 23 $$'!V36/'Est gen ed 23 pos'!V$123</f>
        <v>1.9999999121515879</v>
      </c>
      <c r="W36" s="43">
        <f>'Est gen ed 23 $$'!W36/'Est gen ed 23 pos'!W$123</f>
        <v>1.9999997446793083</v>
      </c>
      <c r="X36" s="34">
        <f>VLOOKUP($A36,'[1]Init $$'!$B$3:$CG$118,24,FALSE)</f>
        <v>69884.100000000006</v>
      </c>
      <c r="Y36" s="34">
        <f>VLOOKUP($A36,'[1]Init $$'!$B$3:$CG$118,25,FALSE)</f>
        <v>0</v>
      </c>
      <c r="Z36" s="34">
        <f>VLOOKUP($A36,'[1]Init $$'!$B$3:$CG$118,26,FALSE)</f>
        <v>0</v>
      </c>
      <c r="AA36" s="34">
        <f>VLOOKUP($A36,'[1]Init $$'!$B$3:$CG$118,27,FALSE)</f>
        <v>0</v>
      </c>
      <c r="AB36" s="43">
        <f>'Est gen ed 23 $$'!AB36/'Est gen ed 23 pos'!AB$123</f>
        <v>0</v>
      </c>
      <c r="AC36" s="43">
        <f>'Est gen ed 23 $$'!AC36/'Est gen ed 23 pos'!AC$123</f>
        <v>0</v>
      </c>
      <c r="AD36" s="43">
        <f>'Est gen ed 23 $$'!AD36/'Est gen ed 23 pos'!AD$123</f>
        <v>0</v>
      </c>
      <c r="AE36" s="43">
        <f>'Est gen ed 23 $$'!AE36/'Est gen ed 23 pos'!AE$123</f>
        <v>0</v>
      </c>
      <c r="AF36" s="34">
        <f>VLOOKUP($A36,'[1]Init $$'!$B$3:$CG$118,32,FALSE)</f>
        <v>2269740</v>
      </c>
      <c r="AG36" s="34">
        <f>VLOOKUP($A36,'[1]Init $$'!$B$3:$CG$118,33,FALSE)</f>
        <v>136175</v>
      </c>
      <c r="AH36" s="43">
        <f>'Est gen ed 23 $$'!AH36/'Est gen ed 23 pos'!AH$123</f>
        <v>1</v>
      </c>
      <c r="AI36" s="43">
        <f>'Est gen ed 23 $$'!AI36/'Est gen ed 23 pos'!AI$123</f>
        <v>1</v>
      </c>
      <c r="AJ36" s="43">
        <f>'Est gen ed 23 $$'!AJ36/'Est gen ed 23 pos'!AJ$123</f>
        <v>2.9999999121515879</v>
      </c>
      <c r="AK36" s="43">
        <f>'Est gen ed 23 $$'!AK36/'Est gen ed 23 pos'!AK$123</f>
        <v>1</v>
      </c>
      <c r="AL36" s="43">
        <f>'Est gen ed 23 $$'!AL36/'Est gen ed 23 pos'!AL$123</f>
        <v>1</v>
      </c>
      <c r="AM36" s="43">
        <f>'Est gen ed 23 $$'!AM36/'Est gen ed 23 pos'!AM$123</f>
        <v>0</v>
      </c>
      <c r="AN36" s="43">
        <f>'Est gen ed 23 $$'!AN36/'Est gen ed 23 pos'!AN$123</f>
        <v>1.0000010424267696</v>
      </c>
      <c r="AO36" s="43">
        <f>'Est gen ed 23 $$'!AO36/'Est gen ed 23 pos'!AO$123</f>
        <v>0</v>
      </c>
      <c r="AP36" s="34">
        <f>VLOOKUP($A36,'[1]Init $$'!$B$3:$CG$118,42,FALSE)</f>
        <v>82427.399999999994</v>
      </c>
      <c r="AQ36" s="34">
        <f>VLOOKUP($A36,'[1]Init $$'!$B$3:$CG$118,43,FALSE)</f>
        <v>0</v>
      </c>
      <c r="AR36" s="43">
        <f>'Est gen ed 23 $$'!AR36/'Est gen ed 23 pos'!AR$123</f>
        <v>2.9999999121515879</v>
      </c>
      <c r="AS36" s="43">
        <f>'Est gen ed 23 $$'!AS36/'Est gen ed 23 pos'!AS$123</f>
        <v>0</v>
      </c>
      <c r="AT36" s="43">
        <f>'Est gen ed 23 $$'!AT36/'Est gen ed 23 pos'!AT$123</f>
        <v>0</v>
      </c>
      <c r="AU36" s="34">
        <f>VLOOKUP($A36,'[1]Init $$'!$B$3:$CG$118,47,FALSE)</f>
        <v>100346.4</v>
      </c>
      <c r="AV36" s="34">
        <f>VLOOKUP($A36,'[1]Init $$'!$B$3:$CG$118,48,FALSE)</f>
        <v>0</v>
      </c>
      <c r="AW36" s="34">
        <f>VLOOKUP($A36,'[1]Init $$'!$B$3:$CG$118,49,FALSE)</f>
        <v>0</v>
      </c>
      <c r="AX36" s="34">
        <f>VLOOKUP($A36,'[1]Init $$'!$B$3:$CG$118,50,FALSE)</f>
        <v>0</v>
      </c>
      <c r="AY36" s="34">
        <f>VLOOKUP($A36,'[1]Init $$'!$B$3:$CG$118,51,FALSE)</f>
        <v>0</v>
      </c>
      <c r="AZ36" s="34">
        <f>VLOOKUP($A36,'[1]Init $$'!$B$3:$CG$118,52,FALSE)</f>
        <v>0</v>
      </c>
      <c r="BA36" s="34">
        <f>VLOOKUP($A36,'[1]Init $$'!$B$3:$CG$118,53,FALSE)</f>
        <v>0</v>
      </c>
      <c r="BB36" s="34">
        <f>VLOOKUP($A36,'[1]Init $$'!$B$3:$CG$118,54,FALSE)</f>
        <v>0</v>
      </c>
      <c r="BC36" s="34">
        <f>VLOOKUP($A36,'[1]Init $$'!$B$3:$CG$118,55,FALSE)</f>
        <v>0</v>
      </c>
      <c r="BD36" s="34">
        <f>VLOOKUP($A36,'[1]Init $$'!$B$3:$CG$118,56,FALSE)</f>
        <v>0</v>
      </c>
      <c r="BE36" s="34">
        <f>VLOOKUP($A36,'[1]Init $$'!$B$3:$CG$118,57,FALSE)</f>
        <v>10475</v>
      </c>
      <c r="BF36" s="43">
        <f>'Est gen ed 23 $$'!BF36/'Est gen ed 23 pos'!BF$123</f>
        <v>0</v>
      </c>
      <c r="BG36" s="43">
        <f>'Est gen ed 23 $$'!BG36/'Est gen ed 23 pos'!BG$123</f>
        <v>0</v>
      </c>
      <c r="BH36" s="34">
        <f>VLOOKUP($A36,'[1]Init $$'!$B$3:$CG$118,60,FALSE)</f>
        <v>0</v>
      </c>
      <c r="BI36" s="34">
        <f>VLOOKUP($A36,'[1]Init $$'!$B$3:$CG$118,61,FALSE)</f>
        <v>0</v>
      </c>
      <c r="BJ36" s="34">
        <f>VLOOKUP($A36,'[1]Init $$'!$B$3:$CG$118,62,FALSE)</f>
        <v>0</v>
      </c>
      <c r="BK36" s="43">
        <f>'Est gen ed 23 $$'!BK36/'Est gen ed 23 pos'!BK$123</f>
        <v>0</v>
      </c>
      <c r="BL36" s="34">
        <f>VLOOKUP($A36,'[1]Init $$'!$B$3:$CG$118,64,FALSE)</f>
        <v>0</v>
      </c>
      <c r="BM36" s="43">
        <f>'Est gen ed 23 $$'!BM36/'Est gen ed 23 pos'!BM$123</f>
        <v>0</v>
      </c>
      <c r="BN36" s="34">
        <f>VLOOKUP($A36,'[1]Init $$'!$B$3:$CG$118,66,FALSE)</f>
        <v>0</v>
      </c>
      <c r="BO36" s="43">
        <f>'Est gen ed 23 $$'!BO36/'Est gen ed 23 pos'!BO$123</f>
        <v>0</v>
      </c>
      <c r="BP36" s="34">
        <f>VLOOKUP($A36,'[1]Init $$'!$B$3:$CG$118,68,FALSE)</f>
        <v>0</v>
      </c>
      <c r="BQ36" s="43">
        <f>'Est gen ed 23 $$'!BQ36/'Est gen ed 23 pos'!BQ$123</f>
        <v>0</v>
      </c>
      <c r="BR36" s="43">
        <f>'Est gen ed 23 $$'!BR36/'Est gen ed 23 pos'!BR$123</f>
        <v>0</v>
      </c>
      <c r="BS36" s="34">
        <f>VLOOKUP($A36,'[1]Init $$'!$B$3:$CG$118,71,FALSE)</f>
        <v>0</v>
      </c>
      <c r="BT36" s="34">
        <f>VLOOKUP($A36,'[1]Init $$'!$B$3:$CG$118,72,FALSE)</f>
        <v>0</v>
      </c>
      <c r="BU36" s="34">
        <f>VLOOKUP($A36,'[1]Init $$'!$B$3:$CG$118,73,FALSE)</f>
        <v>0</v>
      </c>
      <c r="BV36" s="34">
        <f>VLOOKUP($A36,'[1]Init $$'!$B$3:$CG$118,74,FALSE)</f>
        <v>0</v>
      </c>
      <c r="BW36" s="34">
        <f>VLOOKUP($A36,'[1]Init $$'!$B$3:$CG$118,75,FALSE)</f>
        <v>0</v>
      </c>
      <c r="BX36" s="43">
        <f>'Est gen ed 23 $$'!BX36/'Est gen ed 23 pos'!BX$123</f>
        <v>0</v>
      </c>
      <c r="BY36" s="43">
        <f>'Est gen ed 23 $$'!BY36/'Est gen ed 23 pos'!BY$123</f>
        <v>0</v>
      </c>
      <c r="BZ36" s="43">
        <f>'Est gen ed 23 $$'!BZ36/'Est gen ed 23 pos'!BZ$123</f>
        <v>0</v>
      </c>
      <c r="CA36" s="34">
        <f>VLOOKUP($A36,'[1]Init $$'!$B$3:$CG$118,79,FALSE)</f>
        <v>85840.13</v>
      </c>
      <c r="CB36" s="34">
        <f>VLOOKUP($A36,'[1]Init $$'!$B$3:$CG$118,80,FALSE)</f>
        <v>0</v>
      </c>
      <c r="CC36" s="34">
        <f>VLOOKUP($A36,'[1]Init $$'!$B$3:$CG$118,81,FALSE)</f>
        <v>140248.91</v>
      </c>
      <c r="CD36" s="34">
        <f>VLOOKUP($A36,'[1]Init $$'!$B$3:$CG$118,82,FALSE)</f>
        <v>229961.2</v>
      </c>
      <c r="CE36" s="34">
        <f>VLOOKUP($A36,'[1]Init $$'!$B$3:$CG$118,83,FALSE)</f>
        <v>364853.33</v>
      </c>
      <c r="CF36" s="34">
        <f>VLOOKUP($A36,'[1]Init $$'!$B$3:$CG$118,84,FALSE)</f>
        <v>0</v>
      </c>
      <c r="CJ36" s="28">
        <f t="shared" si="2"/>
        <v>3496962.0700007188</v>
      </c>
      <c r="CK36" s="43">
        <f>'Est gen ed 23 $$'!CK36/'Est gen ed 23 pos'!CK$123</f>
        <v>0.99999604682144683</v>
      </c>
      <c r="CL36" s="43">
        <f>'Est gen ed 23 $$'!CL36/'Est gen ed 23 pos'!CL$123</f>
        <v>1.0475000000000001</v>
      </c>
      <c r="CM36" s="43">
        <f>'Est gen ed 23 $$'!CM36/'Est gen ed 23 pos'!CM$123</f>
        <v>1</v>
      </c>
      <c r="CN36" s="43">
        <f>'Est gen ed 23 $$'!CN36/'Est gen ed 23 pos'!CN$123</f>
        <v>0.95465393794749398</v>
      </c>
      <c r="CO36" s="43">
        <f>'Est gen ed 23 $$'!CO36/'Est gen ed 23 pos'!CO$123</f>
        <v>0</v>
      </c>
      <c r="CP36" s="43">
        <f>'Est gen ed 23 $$'!CP36/'Est gen ed 23 pos'!CP$123</f>
        <v>0</v>
      </c>
      <c r="CQ36" s="43">
        <f>'Est gen ed 23 $$'!CQ36/'Est gen ed 23 pos'!CQ$123</f>
        <v>0.99999604682144683</v>
      </c>
      <c r="CR36" s="43">
        <f>'Est gen ed 23 $$'!CR36/'Est gen ed 23 pos'!CR$123</f>
        <v>0.99999604682144683</v>
      </c>
      <c r="CS36" s="43">
        <f>'Est gen ed 23 $$'!CS36/'Est gen ed 23 pos'!CS$123</f>
        <v>1.9999920936428937</v>
      </c>
      <c r="CT36" s="43">
        <f>'Est gen ed 23 $$'!CT36/'Est gen ed 23 pos'!CT$123</f>
        <v>3</v>
      </c>
      <c r="CU36" s="43">
        <f>'Est gen ed 23 $$'!CU36/'Est gen ed 23 pos'!CU$123</f>
        <v>19</v>
      </c>
      <c r="CZ36" s="43">
        <f>'Est gen ed 23 $$'!CW36/'Est gen ed 23 pos'!CZ$123</f>
        <v>0</v>
      </c>
      <c r="DB36" s="28">
        <f t="shared" si="3"/>
        <v>2269740</v>
      </c>
      <c r="DC36" s="28">
        <f t="shared" si="0"/>
        <v>735063.44</v>
      </c>
      <c r="DK36" s="34"/>
      <c r="DL36" s="34"/>
    </row>
    <row r="37" spans="1:116" x14ac:dyDescent="0.2">
      <c r="A37">
        <v>407</v>
      </c>
      <c r="B37" t="s">
        <v>92</v>
      </c>
      <c r="C37" t="s">
        <v>19</v>
      </c>
      <c r="D37">
        <v>6</v>
      </c>
      <c r="E37">
        <f>VLOOKUP($A37,'[1]Init $$'!$B$3:$CG$118,4,FALSE)</f>
        <v>321</v>
      </c>
      <c r="F37">
        <f>VLOOKUP($A37,'[1]Init $$'!$B$3:$CG$118,6,FALSE)</f>
        <v>321</v>
      </c>
      <c r="G37">
        <f>VLOOKUP($A37,'[2]$$xSchpostCouncilxLevel'!$A$4:$EW$120,153,FALSE)</f>
        <v>278</v>
      </c>
      <c r="H37" s="50">
        <f t="shared" si="1"/>
        <v>43</v>
      </c>
      <c r="I37" s="4">
        <f>VLOOKUP($A37,'[1]Init $$'!$B$3:$CG$118,8,FALSE)</f>
        <v>0.58255451713395634</v>
      </c>
      <c r="J37">
        <f>VLOOKUP($A37,'[1]Init $$'!$B$3:$CG$118,7,FALSE)</f>
        <v>187</v>
      </c>
      <c r="K37" s="43">
        <f>'Est gen ed 23 $$'!K37/'Est gen ed 23 pos'!K$123</f>
        <v>1</v>
      </c>
      <c r="L37" s="43">
        <f>'Est gen ed 23 $$'!L37/'Est gen ed 23 pos'!L$123</f>
        <v>1</v>
      </c>
      <c r="M37" s="43">
        <f>'Est gen ed 23 $$'!M37/'Est gen ed 23 pos'!M$123</f>
        <v>0</v>
      </c>
      <c r="N37" s="43">
        <f>'Est gen ed 23 $$'!N37/'Est gen ed 23 pos'!N$123</f>
        <v>1</v>
      </c>
      <c r="O37" s="34">
        <f>VLOOKUP($A37,'[1]Init $$'!$B$3:$CG$118,15,FALSE)</f>
        <v>13205.35</v>
      </c>
      <c r="P37" s="43">
        <f>'Est gen ed 23 $$'!P37/'Est gen ed 23 pos'!P$123</f>
        <v>1</v>
      </c>
      <c r="Q37" s="43">
        <f>'Est gen ed 23 $$'!Q37/'Est gen ed 23 pos'!Q$123</f>
        <v>1</v>
      </c>
      <c r="R37" s="43">
        <f>'Est gen ed 23 $$'!R37/'Est gen ed 23 pos'!R$123</f>
        <v>5.0000003907222226</v>
      </c>
      <c r="S37" s="43">
        <f>'Est gen ed 23 $$'!S37/'Est gen ed 23 pos'!S$123</f>
        <v>1</v>
      </c>
      <c r="T37" s="43">
        <f>'Est gen ed 23 $$'!T37/'Est gen ed 23 pos'!T$123</f>
        <v>0</v>
      </c>
      <c r="U37" s="43">
        <f>'Est gen ed 23 $$'!U37/'Est gen ed 23 pos'!U$123</f>
        <v>0</v>
      </c>
      <c r="V37" s="43">
        <f>'Est gen ed 23 $$'!V37/'Est gen ed 23 pos'!V$123</f>
        <v>0</v>
      </c>
      <c r="W37" s="43">
        <f>'Est gen ed 23 $$'!W37/'Est gen ed 23 pos'!W$123</f>
        <v>0</v>
      </c>
      <c r="X37" s="34">
        <f>VLOOKUP($A37,'[1]Init $$'!$B$3:$CG$118,24,FALSE)</f>
        <v>0</v>
      </c>
      <c r="Y37" s="34">
        <f>VLOOKUP($A37,'[1]Init $$'!$B$3:$CG$118,25,FALSE)</f>
        <v>0</v>
      </c>
      <c r="Z37" s="34">
        <f>VLOOKUP($A37,'[1]Init $$'!$B$3:$CG$118,26,FALSE)</f>
        <v>0</v>
      </c>
      <c r="AA37" s="34">
        <f>VLOOKUP($A37,'[1]Init $$'!$B$3:$CG$118,27,FALSE)</f>
        <v>0</v>
      </c>
      <c r="AB37" s="43">
        <f>'Est gen ed 23 $$'!AB37/'Est gen ed 23 pos'!AB$123</f>
        <v>0</v>
      </c>
      <c r="AC37" s="43">
        <f>'Est gen ed 23 $$'!AC37/'Est gen ed 23 pos'!AC$123</f>
        <v>0</v>
      </c>
      <c r="AD37" s="43">
        <f>'Est gen ed 23 $$'!AD37/'Est gen ed 23 pos'!AD$123</f>
        <v>0</v>
      </c>
      <c r="AE37" s="43">
        <f>'Est gen ed 23 $$'!AE37/'Est gen ed 23 pos'!AE$123</f>
        <v>0</v>
      </c>
      <c r="AF37" s="34">
        <f>VLOOKUP($A37,'[1]Init $$'!$B$3:$CG$118,32,FALSE)</f>
        <v>1917333</v>
      </c>
      <c r="AG37" s="34">
        <f>VLOOKUP($A37,'[1]Init $$'!$B$3:$CG$118,33,FALSE)</f>
        <v>109782</v>
      </c>
      <c r="AH37" s="43">
        <f>'Est gen ed 23 $$'!AH37/'Est gen ed 23 pos'!AH$123</f>
        <v>1</v>
      </c>
      <c r="AI37" s="43">
        <f>'Est gen ed 23 $$'!AI37/'Est gen ed 23 pos'!AI$123</f>
        <v>2.9999999121515879</v>
      </c>
      <c r="AJ37" s="43">
        <f>'Est gen ed 23 $$'!AJ37/'Est gen ed 23 pos'!AJ$123</f>
        <v>4.9999998243031758</v>
      </c>
      <c r="AK37" s="43">
        <f>'Est gen ed 23 $$'!AK37/'Est gen ed 23 pos'!AK$123</f>
        <v>3.9999998243031758</v>
      </c>
      <c r="AL37" s="43">
        <f>'Est gen ed 23 $$'!AL37/'Est gen ed 23 pos'!AL$123</f>
        <v>5.9999994893586166</v>
      </c>
      <c r="AM37" s="43">
        <f>'Est gen ed 23 $$'!AM37/'Est gen ed 23 pos'!AM$123</f>
        <v>0</v>
      </c>
      <c r="AN37" s="43">
        <f>'Est gen ed 23 $$'!AN37/'Est gen ed 23 pos'!AN$123</f>
        <v>0</v>
      </c>
      <c r="AO37" s="43">
        <f>'Est gen ed 23 $$'!AO37/'Est gen ed 23 pos'!AO$123</f>
        <v>0</v>
      </c>
      <c r="AP37" s="34">
        <f>VLOOKUP($A37,'[1]Init $$'!$B$3:$CG$118,42,FALSE)</f>
        <v>129016.8</v>
      </c>
      <c r="AQ37" s="34">
        <f>VLOOKUP($A37,'[1]Init $$'!$B$3:$CG$118,43,FALSE)</f>
        <v>0</v>
      </c>
      <c r="AR37" s="43">
        <f>'Est gen ed 23 $$'!AR37/'Est gen ed 23 pos'!AR$123</f>
        <v>0</v>
      </c>
      <c r="AS37" s="43">
        <f>'Est gen ed 23 $$'!AS37/'Est gen ed 23 pos'!AS$123</f>
        <v>0.13999997364547631</v>
      </c>
      <c r="AT37" s="43">
        <f>'Est gen ed 23 $$'!AT37/'Est gen ed 23 pos'!AT$123</f>
        <v>0</v>
      </c>
      <c r="AU37" s="34">
        <f>VLOOKUP($A37,'[1]Init $$'!$B$3:$CG$118,47,FALSE)</f>
        <v>5375.7</v>
      </c>
      <c r="AV37" s="34">
        <f>VLOOKUP($A37,'[1]Init $$'!$B$3:$CG$118,48,FALSE)</f>
        <v>0</v>
      </c>
      <c r="AW37" s="34">
        <f>VLOOKUP($A37,'[1]Init $$'!$B$3:$CG$118,49,FALSE)</f>
        <v>0</v>
      </c>
      <c r="AX37" s="34">
        <f>VLOOKUP($A37,'[1]Init $$'!$B$3:$CG$118,50,FALSE)</f>
        <v>0</v>
      </c>
      <c r="AY37" s="34">
        <f>VLOOKUP($A37,'[1]Init $$'!$B$3:$CG$118,51,FALSE)</f>
        <v>0</v>
      </c>
      <c r="AZ37" s="34">
        <f>VLOOKUP($A37,'[1]Init $$'!$B$3:$CG$118,52,FALSE)</f>
        <v>0</v>
      </c>
      <c r="BA37" s="34">
        <f>VLOOKUP($A37,'[1]Init $$'!$B$3:$CG$118,53,FALSE)</f>
        <v>0</v>
      </c>
      <c r="BB37" s="34">
        <f>VLOOKUP($A37,'[1]Init $$'!$B$3:$CG$118,54,FALSE)</f>
        <v>0</v>
      </c>
      <c r="BC37" s="34">
        <f>VLOOKUP($A37,'[1]Init $$'!$B$3:$CG$118,55,FALSE)</f>
        <v>148933.06</v>
      </c>
      <c r="BD37" s="34">
        <f>VLOOKUP($A37,'[1]Init $$'!$B$3:$CG$118,56,FALSE)</f>
        <v>2398.94</v>
      </c>
      <c r="BE37" s="34">
        <f>VLOOKUP($A37,'[1]Init $$'!$B$3:$CG$118,57,FALSE)</f>
        <v>0</v>
      </c>
      <c r="BF37" s="43">
        <f>'Est gen ed 23 $$'!BF37/'Est gen ed 23 pos'!BF$123</f>
        <v>0</v>
      </c>
      <c r="BG37" s="43">
        <f>'Est gen ed 23 $$'!BG37/'Est gen ed 23 pos'!BG$123</f>
        <v>0</v>
      </c>
      <c r="BH37" s="34">
        <f>VLOOKUP($A37,'[1]Init $$'!$B$3:$CG$118,60,FALSE)</f>
        <v>0</v>
      </c>
      <c r="BI37" s="34">
        <f>VLOOKUP($A37,'[1]Init $$'!$B$3:$CG$118,61,FALSE)</f>
        <v>0</v>
      </c>
      <c r="BJ37" s="34">
        <f>VLOOKUP($A37,'[1]Init $$'!$B$3:$CG$118,62,FALSE)</f>
        <v>0</v>
      </c>
      <c r="BK37" s="43">
        <f>'Est gen ed 23 $$'!BK37/'Est gen ed 23 pos'!BK$123</f>
        <v>1</v>
      </c>
      <c r="BL37" s="34">
        <f>VLOOKUP($A37,'[1]Init $$'!$B$3:$CG$118,64,FALSE)</f>
        <v>19687</v>
      </c>
      <c r="BM37" s="43">
        <f>'Est gen ed 23 $$'!BM37/'Est gen ed 23 pos'!BM$123</f>
        <v>0</v>
      </c>
      <c r="BN37" s="34">
        <f>VLOOKUP($A37,'[1]Init $$'!$B$3:$CG$118,66,FALSE)</f>
        <v>0</v>
      </c>
      <c r="BO37" s="43">
        <f>'Est gen ed 23 $$'!BO37/'Est gen ed 23 pos'!BO$123</f>
        <v>0</v>
      </c>
      <c r="BP37" s="34">
        <f>VLOOKUP($A37,'[1]Init $$'!$B$3:$CG$118,68,FALSE)</f>
        <v>0</v>
      </c>
      <c r="BQ37" s="43">
        <f>'Est gen ed 23 $$'!BQ37/'Est gen ed 23 pos'!BQ$123</f>
        <v>0</v>
      </c>
      <c r="BR37" s="43">
        <f>'Est gen ed 23 $$'!BR37/'Est gen ed 23 pos'!BR$123</f>
        <v>0</v>
      </c>
      <c r="BS37" s="34">
        <f>VLOOKUP($A37,'[1]Init $$'!$B$3:$CG$118,71,FALSE)</f>
        <v>0</v>
      </c>
      <c r="BT37" s="34">
        <f>VLOOKUP($A37,'[1]Init $$'!$B$3:$CG$118,72,FALSE)</f>
        <v>0</v>
      </c>
      <c r="BU37" s="34">
        <f>VLOOKUP($A37,'[1]Init $$'!$B$3:$CG$118,73,FALSE)</f>
        <v>0</v>
      </c>
      <c r="BV37" s="34">
        <f>VLOOKUP($A37,'[1]Init $$'!$B$3:$CG$118,74,FALSE)</f>
        <v>0</v>
      </c>
      <c r="BW37" s="34">
        <f>VLOOKUP($A37,'[1]Init $$'!$B$3:$CG$118,75,FALSE)</f>
        <v>111842</v>
      </c>
      <c r="BX37" s="43">
        <f>'Est gen ed 23 $$'!BX37/'Est gen ed 23 pos'!BX$123</f>
        <v>0</v>
      </c>
      <c r="BY37" s="43">
        <f>'Est gen ed 23 $$'!BY37/'Est gen ed 23 pos'!BY$123</f>
        <v>0</v>
      </c>
      <c r="BZ37" s="43">
        <f>'Est gen ed 23 $$'!BZ37/'Est gen ed 23 pos'!BZ$123</f>
        <v>0</v>
      </c>
      <c r="CA37" s="34">
        <f>VLOOKUP($A37,'[1]Init $$'!$B$3:$CG$118,79,FALSE)</f>
        <v>501628.25</v>
      </c>
      <c r="CB37" s="34">
        <f>VLOOKUP($A37,'[1]Init $$'!$B$3:$CG$118,80,FALSE)</f>
        <v>70003.56</v>
      </c>
      <c r="CC37" s="34">
        <f>VLOOKUP($A37,'[1]Init $$'!$B$3:$CG$118,81,FALSE)</f>
        <v>0</v>
      </c>
      <c r="CD37" s="34">
        <f>VLOOKUP($A37,'[1]Init $$'!$B$3:$CG$118,82,FALSE)</f>
        <v>0</v>
      </c>
      <c r="CE37" s="34">
        <f>VLOOKUP($A37,'[1]Init $$'!$B$3:$CG$118,83,FALSE)</f>
        <v>0</v>
      </c>
      <c r="CF37" s="34">
        <f>VLOOKUP($A37,'[1]Init $$'!$B$3:$CG$118,84,FALSE)</f>
        <v>0</v>
      </c>
      <c r="CJ37" s="28">
        <f t="shared" si="2"/>
        <v>3029236.7999994145</v>
      </c>
      <c r="CK37" s="43">
        <f>'Est gen ed 23 $$'!CK37/'Est gen ed 23 pos'!CK$123</f>
        <v>0.99999604682144683</v>
      </c>
      <c r="CL37" s="43">
        <f>'Est gen ed 23 $$'!CL37/'Est gen ed 23 pos'!CL$123</f>
        <v>1.07</v>
      </c>
      <c r="CM37" s="43">
        <f>'Est gen ed 23 $$'!CM37/'Est gen ed 23 pos'!CM$123</f>
        <v>1</v>
      </c>
      <c r="CN37" s="43">
        <f>'Est gen ed 23 $$'!CN37/'Est gen ed 23 pos'!CN$123</f>
        <v>0</v>
      </c>
      <c r="CO37" s="43">
        <f>'Est gen ed 23 $$'!CO37/'Est gen ed 23 pos'!CO$123</f>
        <v>0</v>
      </c>
      <c r="CP37" s="43">
        <f>'Est gen ed 23 $$'!CP37/'Est gen ed 23 pos'!CP$123</f>
        <v>0</v>
      </c>
      <c r="CQ37" s="43">
        <f>'Est gen ed 23 $$'!CQ37/'Est gen ed 23 pos'!CQ$123</f>
        <v>0</v>
      </c>
      <c r="CR37" s="43">
        <f>'Est gen ed 23 $$'!CR37/'Est gen ed 23 pos'!CR$123</f>
        <v>0</v>
      </c>
      <c r="CS37" s="43">
        <f>'Est gen ed 23 $$'!CS37/'Est gen ed 23 pos'!CS$123</f>
        <v>0</v>
      </c>
      <c r="CT37" s="43">
        <f>'Est gen ed 23 $$'!CT37/'Est gen ed 23 pos'!CT$123</f>
        <v>0</v>
      </c>
      <c r="CU37" s="43">
        <f>'Est gen ed 23 $$'!CU37/'Est gen ed 23 pos'!CU$123</f>
        <v>17</v>
      </c>
      <c r="CZ37" s="43">
        <f>'Est gen ed 23 $$'!CW37/'Est gen ed 23 pos'!CZ$123</f>
        <v>0</v>
      </c>
      <c r="DB37" s="28">
        <f t="shared" si="3"/>
        <v>1917333</v>
      </c>
      <c r="DC37" s="28">
        <f t="shared" si="0"/>
        <v>0</v>
      </c>
      <c r="DK37" s="34"/>
      <c r="DL37" s="34"/>
    </row>
    <row r="38" spans="1:116" x14ac:dyDescent="0.2">
      <c r="A38">
        <v>471</v>
      </c>
      <c r="B38" t="s">
        <v>91</v>
      </c>
      <c r="C38" t="s">
        <v>1</v>
      </c>
      <c r="D38">
        <v>3</v>
      </c>
      <c r="E38">
        <f>VLOOKUP($A38,'[1]Init $$'!$B$3:$CG$118,4,FALSE)</f>
        <v>581</v>
      </c>
      <c r="F38">
        <f>VLOOKUP($A38,'[1]Init $$'!$B$3:$CG$118,6,FALSE)</f>
        <v>581</v>
      </c>
      <c r="G38">
        <f>VLOOKUP($A38,'[2]$$xSchpostCouncilxLevel'!$A$4:$EW$120,153,FALSE)</f>
        <v>611</v>
      </c>
      <c r="H38" s="50">
        <f t="shared" si="1"/>
        <v>-30</v>
      </c>
      <c r="I38" s="4">
        <f>VLOOKUP($A38,'[1]Init $$'!$B$3:$CG$118,8,FALSE)</f>
        <v>0.30636833046471601</v>
      </c>
      <c r="J38">
        <f>VLOOKUP($A38,'[1]Init $$'!$B$3:$CG$118,7,FALSE)</f>
        <v>178</v>
      </c>
      <c r="K38" s="43">
        <f>'Est gen ed 23 $$'!K38/'Est gen ed 23 pos'!K$123</f>
        <v>1</v>
      </c>
      <c r="L38" s="43">
        <f>'Est gen ed 23 $$'!L38/'Est gen ed 23 pos'!L$123</f>
        <v>0</v>
      </c>
      <c r="M38" s="43">
        <f>'Est gen ed 23 $$'!M38/'Est gen ed 23 pos'!M$123</f>
        <v>2.4999986762701969</v>
      </c>
      <c r="N38" s="43">
        <f>'Est gen ed 23 $$'!N38/'Est gen ed 23 pos'!N$123</f>
        <v>1</v>
      </c>
      <c r="O38" s="34">
        <f>VLOOKUP($A38,'[1]Init $$'!$B$3:$CG$118,15,FALSE)</f>
        <v>22022.68</v>
      </c>
      <c r="P38" s="43">
        <f>'Est gen ed 23 $$'!P38/'Est gen ed 23 pos'!P$123</f>
        <v>1</v>
      </c>
      <c r="Q38" s="43">
        <f>'Est gen ed 23 $$'!Q38/'Est gen ed 23 pos'!Q$123</f>
        <v>1</v>
      </c>
      <c r="R38" s="43">
        <f>'Est gen ed 23 $$'!R38/'Est gen ed 23 pos'!R$123</f>
        <v>7.000000586083333</v>
      </c>
      <c r="S38" s="43">
        <f>'Est gen ed 23 $$'!S38/'Est gen ed 23 pos'!S$123</f>
        <v>1</v>
      </c>
      <c r="T38" s="43">
        <f>'Est gen ed 23 $$'!T38/'Est gen ed 23 pos'!T$123</f>
        <v>0</v>
      </c>
      <c r="U38" s="43">
        <f>'Est gen ed 23 $$'!U38/'Est gen ed 23 pos'!U$123</f>
        <v>0</v>
      </c>
      <c r="V38" s="43">
        <f>'Est gen ed 23 $$'!V38/'Est gen ed 23 pos'!V$123</f>
        <v>0</v>
      </c>
      <c r="W38" s="43">
        <f>'Est gen ed 23 $$'!W38/'Est gen ed 23 pos'!W$123</f>
        <v>0</v>
      </c>
      <c r="X38" s="34">
        <f>VLOOKUP($A38,'[1]Init $$'!$B$3:$CG$118,24,FALSE)</f>
        <v>0</v>
      </c>
      <c r="Y38" s="34">
        <f>VLOOKUP($A38,'[1]Init $$'!$B$3:$CG$118,25,FALSE)</f>
        <v>0</v>
      </c>
      <c r="Z38" s="34">
        <f>VLOOKUP($A38,'[1]Init $$'!$B$3:$CG$118,26,FALSE)</f>
        <v>0</v>
      </c>
      <c r="AA38" s="34">
        <f>VLOOKUP($A38,'[1]Init $$'!$B$3:$CG$118,27,FALSE)</f>
        <v>0</v>
      </c>
      <c r="AB38" s="43">
        <f>'Est gen ed 23 $$'!AB38/'Est gen ed 23 pos'!AB$123</f>
        <v>0</v>
      </c>
      <c r="AC38" s="43">
        <f>'Est gen ed 23 $$'!AC38/'Est gen ed 23 pos'!AC$123</f>
        <v>0</v>
      </c>
      <c r="AD38" s="43">
        <f>'Est gen ed 23 $$'!AD38/'Est gen ed 23 pos'!AD$123</f>
        <v>0</v>
      </c>
      <c r="AE38" s="43">
        <f>'Est gen ed 23 $$'!AE38/'Est gen ed 23 pos'!AE$123</f>
        <v>0</v>
      </c>
      <c r="AF38" s="34">
        <f>VLOOKUP($A38,'[1]Init $$'!$B$3:$CG$118,32,FALSE)</f>
        <v>3470313</v>
      </c>
      <c r="AG38" s="34">
        <f>VLOOKUP($A38,'[1]Init $$'!$B$3:$CG$118,33,FALSE)</f>
        <v>344533</v>
      </c>
      <c r="AH38" s="43">
        <f>'Est gen ed 23 $$'!AH38/'Est gen ed 23 pos'!AH$123</f>
        <v>1.4999999560757939</v>
      </c>
      <c r="AI38" s="43">
        <f>'Est gen ed 23 $$'!AI38/'Est gen ed 23 pos'!AI$123</f>
        <v>1.9999999121515879</v>
      </c>
      <c r="AJ38" s="43">
        <f>'Est gen ed 23 $$'!AJ38/'Est gen ed 23 pos'!AJ$123</f>
        <v>3.9999998243031758</v>
      </c>
      <c r="AK38" s="43">
        <f>'Est gen ed 23 $$'!AK38/'Est gen ed 23 pos'!AK$123</f>
        <v>0</v>
      </c>
      <c r="AL38" s="43">
        <f>'Est gen ed 23 $$'!AL38/'Est gen ed 23 pos'!AL$123</f>
        <v>0</v>
      </c>
      <c r="AM38" s="43">
        <f>'Est gen ed 23 $$'!AM38/'Est gen ed 23 pos'!AM$123</f>
        <v>0</v>
      </c>
      <c r="AN38" s="43">
        <f>'Est gen ed 23 $$'!AN38/'Est gen ed 23 pos'!AN$123</f>
        <v>0</v>
      </c>
      <c r="AO38" s="43">
        <f>'Est gen ed 23 $$'!AO38/'Est gen ed 23 pos'!AO$123</f>
        <v>0</v>
      </c>
      <c r="AP38" s="34">
        <f>VLOOKUP($A38,'[1]Init $$'!$B$3:$CG$118,42,FALSE)</f>
        <v>73467.899999999994</v>
      </c>
      <c r="AQ38" s="34">
        <f>VLOOKUP($A38,'[1]Init $$'!$B$3:$CG$118,43,FALSE)</f>
        <v>0</v>
      </c>
      <c r="AR38" s="43">
        <f>'Est gen ed 23 $$'!AR38/'Est gen ed 23 pos'!AR$123</f>
        <v>1</v>
      </c>
      <c r="AS38" s="43">
        <f>'Est gen ed 23 $$'!AS38/'Est gen ed 23 pos'!AS$123</f>
        <v>0</v>
      </c>
      <c r="AT38" s="43">
        <f>'Est gen ed 23 $$'!AT38/'Est gen ed 23 pos'!AT$123</f>
        <v>0</v>
      </c>
      <c r="AU38" s="34">
        <f>VLOOKUP($A38,'[1]Init $$'!$B$3:$CG$118,47,FALSE)</f>
        <v>19710.900000000001</v>
      </c>
      <c r="AV38" s="34">
        <f>VLOOKUP($A38,'[1]Init $$'!$B$3:$CG$118,48,FALSE)</f>
        <v>0</v>
      </c>
      <c r="AW38" s="34">
        <f>VLOOKUP($A38,'[1]Init $$'!$B$3:$CG$118,49,FALSE)</f>
        <v>0</v>
      </c>
      <c r="AX38" s="34">
        <f>VLOOKUP($A38,'[1]Init $$'!$B$3:$CG$118,50,FALSE)</f>
        <v>0</v>
      </c>
      <c r="AY38" s="34">
        <f>VLOOKUP($A38,'[1]Init $$'!$B$3:$CG$118,51,FALSE)</f>
        <v>0</v>
      </c>
      <c r="AZ38" s="34">
        <f>VLOOKUP($A38,'[1]Init $$'!$B$3:$CG$118,52,FALSE)</f>
        <v>0</v>
      </c>
      <c r="BA38" s="34">
        <f>VLOOKUP($A38,'[1]Init $$'!$B$3:$CG$118,53,FALSE)</f>
        <v>0</v>
      </c>
      <c r="BB38" s="34">
        <f>VLOOKUP($A38,'[1]Init $$'!$B$3:$CG$118,54,FALSE)</f>
        <v>0</v>
      </c>
      <c r="BC38" s="34">
        <f>VLOOKUP($A38,'[1]Init $$'!$B$3:$CG$118,55,FALSE)</f>
        <v>0</v>
      </c>
      <c r="BD38" s="34">
        <f>VLOOKUP($A38,'[1]Init $$'!$B$3:$CG$118,56,FALSE)</f>
        <v>0</v>
      </c>
      <c r="BE38" s="34">
        <f>VLOOKUP($A38,'[1]Init $$'!$B$3:$CG$118,57,FALSE)</f>
        <v>14525</v>
      </c>
      <c r="BF38" s="43">
        <f>'Est gen ed 23 $$'!BF38/'Est gen ed 23 pos'!BF$123</f>
        <v>0</v>
      </c>
      <c r="BG38" s="43">
        <f>'Est gen ed 23 $$'!BG38/'Est gen ed 23 pos'!BG$123</f>
        <v>0</v>
      </c>
      <c r="BH38" s="34">
        <f>VLOOKUP($A38,'[1]Init $$'!$B$3:$CG$118,60,FALSE)</f>
        <v>0</v>
      </c>
      <c r="BI38" s="34">
        <f>VLOOKUP($A38,'[1]Init $$'!$B$3:$CG$118,61,FALSE)</f>
        <v>0</v>
      </c>
      <c r="BJ38" s="34">
        <f>VLOOKUP($A38,'[1]Init $$'!$B$3:$CG$118,62,FALSE)</f>
        <v>0</v>
      </c>
      <c r="BK38" s="43">
        <f>'Est gen ed 23 $$'!BK38/'Est gen ed 23 pos'!BK$123</f>
        <v>0</v>
      </c>
      <c r="BL38" s="34">
        <f>VLOOKUP($A38,'[1]Init $$'!$B$3:$CG$118,64,FALSE)</f>
        <v>0</v>
      </c>
      <c r="BM38" s="43">
        <f>'Est gen ed 23 $$'!BM38/'Est gen ed 23 pos'!BM$123</f>
        <v>0</v>
      </c>
      <c r="BN38" s="34">
        <f>VLOOKUP($A38,'[1]Init $$'!$B$3:$CG$118,66,FALSE)</f>
        <v>0</v>
      </c>
      <c r="BO38" s="43">
        <f>'Est gen ed 23 $$'!BO38/'Est gen ed 23 pos'!BO$123</f>
        <v>0</v>
      </c>
      <c r="BP38" s="34">
        <f>VLOOKUP($A38,'[1]Init $$'!$B$3:$CG$118,68,FALSE)</f>
        <v>0</v>
      </c>
      <c r="BQ38" s="43">
        <f>'Est gen ed 23 $$'!BQ38/'Est gen ed 23 pos'!BQ$123</f>
        <v>0</v>
      </c>
      <c r="BR38" s="43">
        <f>'Est gen ed 23 $$'!BR38/'Est gen ed 23 pos'!BR$123</f>
        <v>0</v>
      </c>
      <c r="BS38" s="34">
        <f>VLOOKUP($A38,'[1]Init $$'!$B$3:$CG$118,71,FALSE)</f>
        <v>0</v>
      </c>
      <c r="BT38" s="34">
        <f>VLOOKUP($A38,'[1]Init $$'!$B$3:$CG$118,72,FALSE)</f>
        <v>0</v>
      </c>
      <c r="BU38" s="34">
        <f>VLOOKUP($A38,'[1]Init $$'!$B$3:$CG$118,73,FALSE)</f>
        <v>0</v>
      </c>
      <c r="BV38" s="34">
        <f>VLOOKUP($A38,'[1]Init $$'!$B$3:$CG$118,74,FALSE)</f>
        <v>3233529</v>
      </c>
      <c r="BW38" s="34">
        <f>VLOOKUP($A38,'[1]Init $$'!$B$3:$CG$118,75,FALSE)</f>
        <v>0</v>
      </c>
      <c r="BX38" s="43">
        <f>'Est gen ed 23 $$'!BX38/'Est gen ed 23 pos'!BX$123</f>
        <v>0</v>
      </c>
      <c r="BY38" s="43">
        <f>'Est gen ed 23 $$'!BY38/'Est gen ed 23 pos'!BY$123</f>
        <v>0</v>
      </c>
      <c r="BZ38" s="43">
        <f>'Est gen ed 23 $$'!BZ38/'Est gen ed 23 pos'!BZ$123</f>
        <v>0</v>
      </c>
      <c r="CA38" s="34">
        <f>VLOOKUP($A38,'[1]Init $$'!$B$3:$CG$118,79,FALSE)</f>
        <v>529123.91</v>
      </c>
      <c r="CB38" s="34">
        <f>VLOOKUP($A38,'[1]Init $$'!$B$3:$CG$118,80,FALSE)</f>
        <v>0</v>
      </c>
      <c r="CC38" s="34">
        <f>VLOOKUP($A38,'[1]Init $$'!$B$3:$CG$118,81,FALSE)</f>
        <v>0</v>
      </c>
      <c r="CD38" s="34">
        <f>VLOOKUP($A38,'[1]Init $$'!$B$3:$CG$118,82,FALSE)</f>
        <v>0</v>
      </c>
      <c r="CE38" s="34">
        <f>VLOOKUP($A38,'[1]Init $$'!$B$3:$CG$118,83,FALSE)</f>
        <v>0</v>
      </c>
      <c r="CF38" s="34">
        <f>VLOOKUP($A38,'[1]Init $$'!$B$3:$CG$118,84,FALSE)</f>
        <v>0</v>
      </c>
      <c r="CJ38" s="28">
        <f t="shared" si="2"/>
        <v>7707248.3899989557</v>
      </c>
      <c r="CK38" s="43">
        <f>'Est gen ed 23 $$'!CK38/'Est gen ed 23 pos'!CK$123</f>
        <v>0.99999604682144683</v>
      </c>
      <c r="CL38" s="43">
        <f>'Est gen ed 23 $$'!CL38/'Est gen ed 23 pos'!CL$123</f>
        <v>1.9366666666666668</v>
      </c>
      <c r="CM38" s="43">
        <f>'Est gen ed 23 $$'!CM38/'Est gen ed 23 pos'!CM$123</f>
        <v>1</v>
      </c>
      <c r="CN38" s="43">
        <f>'Est gen ed 23 $$'!CN38/'Est gen ed 23 pos'!CN$123</f>
        <v>0.68846815834767638</v>
      </c>
      <c r="CO38" s="43">
        <f>'Est gen ed 23 $$'!CO38/'Est gen ed 23 pos'!CO$123</f>
        <v>1</v>
      </c>
      <c r="CP38" s="43">
        <f>'Est gen ed 23 $$'!CP38/'Est gen ed 23 pos'!CP$123</f>
        <v>1</v>
      </c>
      <c r="CQ38" s="43">
        <f>'Est gen ed 23 $$'!CQ38/'Est gen ed 23 pos'!CQ$123</f>
        <v>0</v>
      </c>
      <c r="CR38" s="43">
        <f>'Est gen ed 23 $$'!CR38/'Est gen ed 23 pos'!CR$123</f>
        <v>0</v>
      </c>
      <c r="CS38" s="43">
        <f>'Est gen ed 23 $$'!CS38/'Est gen ed 23 pos'!CS$123</f>
        <v>0</v>
      </c>
      <c r="CT38" s="43">
        <f>'Est gen ed 23 $$'!CT38/'Est gen ed 23 pos'!CT$123</f>
        <v>0</v>
      </c>
      <c r="CU38" s="43" t="e">
        <f>'Est gen ed 23 $$'!CU38/'Est gen ed 23 pos'!CU$123</f>
        <v>#VALUE!</v>
      </c>
      <c r="CZ38" s="43">
        <f>'Est gen ed 23 $$'!CW38/'Est gen ed 23 pos'!CZ$123</f>
        <v>0</v>
      </c>
      <c r="DB38" s="28">
        <f t="shared" si="3"/>
        <v>6703842</v>
      </c>
      <c r="DC38" s="28">
        <f t="shared" si="0"/>
        <v>0</v>
      </c>
      <c r="DK38" s="34"/>
      <c r="DL38" s="34"/>
    </row>
    <row r="39" spans="1:116" x14ac:dyDescent="0.2">
      <c r="A39">
        <v>318</v>
      </c>
      <c r="B39" t="s">
        <v>90</v>
      </c>
      <c r="C39" t="s">
        <v>4</v>
      </c>
      <c r="D39">
        <v>8</v>
      </c>
      <c r="E39">
        <f>VLOOKUP($A39,'[1]Init $$'!$B$3:$CG$118,4,FALSE)</f>
        <v>498</v>
      </c>
      <c r="F39">
        <f>VLOOKUP($A39,'[1]Init $$'!$B$3:$CG$118,6,FALSE)</f>
        <v>422</v>
      </c>
      <c r="G39">
        <f>VLOOKUP($A39,'[2]$$xSchpostCouncilxLevel'!$A$4:$EW$120,153,FALSE)</f>
        <v>378</v>
      </c>
      <c r="H39" s="50">
        <f t="shared" si="1"/>
        <v>44</v>
      </c>
      <c r="I39" s="4">
        <f>VLOOKUP($A39,'[1]Init $$'!$B$3:$CG$118,8,FALSE)</f>
        <v>0.79116465863453811</v>
      </c>
      <c r="J39">
        <f>VLOOKUP($A39,'[1]Init $$'!$B$3:$CG$118,7,FALSE)</f>
        <v>394</v>
      </c>
      <c r="K39" s="43">
        <f>'Est gen ed 23 $$'!K39/'Est gen ed 23 pos'!K$123</f>
        <v>1</v>
      </c>
      <c r="L39" s="43">
        <f>'Est gen ed 23 $$'!L39/'Est gen ed 23 pos'!L$123</f>
        <v>0.49999995607579389</v>
      </c>
      <c r="M39" s="43">
        <f>'Est gen ed 23 $$'!M39/'Est gen ed 23 pos'!M$123</f>
        <v>0</v>
      </c>
      <c r="N39" s="43">
        <f>'Est gen ed 23 $$'!N39/'Est gen ed 23 pos'!N$123</f>
        <v>1</v>
      </c>
      <c r="O39" s="34">
        <f>VLOOKUP($A39,'[1]Init $$'!$B$3:$CG$118,15,FALSE)</f>
        <v>6554.65</v>
      </c>
      <c r="P39" s="43">
        <f>'Est gen ed 23 $$'!P39/'Est gen ed 23 pos'!P$123</f>
        <v>1</v>
      </c>
      <c r="Q39" s="43">
        <f>'Est gen ed 23 $$'!Q39/'Est gen ed 23 pos'!Q$123</f>
        <v>1</v>
      </c>
      <c r="R39" s="43">
        <f>'Est gen ed 23 $$'!R39/'Est gen ed 23 pos'!R$123</f>
        <v>2.0000001953611113</v>
      </c>
      <c r="S39" s="43">
        <f>'Est gen ed 23 $$'!S39/'Est gen ed 23 pos'!S$123</f>
        <v>1</v>
      </c>
      <c r="T39" s="43">
        <f>'Est gen ed 23 $$'!T39/'Est gen ed 23 pos'!T$123</f>
        <v>2.9999999121515879</v>
      </c>
      <c r="U39" s="43">
        <f>'Est gen ed 23 $$'!U39/'Est gen ed 23 pos'!U$123</f>
        <v>0</v>
      </c>
      <c r="V39" s="43">
        <f>'Est gen ed 23 $$'!V39/'Est gen ed 23 pos'!V$123</f>
        <v>2.9999999121515879</v>
      </c>
      <c r="W39" s="43">
        <f>'Est gen ed 23 $$'!W39/'Est gen ed 23 pos'!W$123</f>
        <v>5.9999994893586166</v>
      </c>
      <c r="X39" s="34">
        <f>VLOOKUP($A39,'[1]Init $$'!$B$3:$CG$118,24,FALSE)</f>
        <v>136184.4</v>
      </c>
      <c r="Y39" s="34">
        <f>VLOOKUP($A39,'[1]Init $$'!$B$3:$CG$118,25,FALSE)</f>
        <v>0</v>
      </c>
      <c r="Z39" s="34">
        <f>VLOOKUP($A39,'[1]Init $$'!$B$3:$CG$118,26,FALSE)</f>
        <v>0</v>
      </c>
      <c r="AA39" s="34">
        <f>VLOOKUP($A39,'[1]Init $$'!$B$3:$CG$118,27,FALSE)</f>
        <v>630151.5</v>
      </c>
      <c r="AB39" s="43">
        <f>'Est gen ed 23 $$'!AB39/'Est gen ed 23 pos'!AB$123</f>
        <v>0</v>
      </c>
      <c r="AC39" s="43">
        <f>'Est gen ed 23 $$'!AC39/'Est gen ed 23 pos'!AC$123</f>
        <v>0</v>
      </c>
      <c r="AD39" s="43">
        <f>'Est gen ed 23 $$'!AD39/'Est gen ed 23 pos'!AD$123</f>
        <v>0</v>
      </c>
      <c r="AE39" s="43">
        <f>'Est gen ed 23 $$'!AE39/'Est gen ed 23 pos'!AE$123</f>
        <v>0</v>
      </c>
      <c r="AF39" s="34">
        <f>VLOOKUP($A39,'[1]Init $$'!$B$3:$CG$118,32,FALSE)</f>
        <v>2520606</v>
      </c>
      <c r="AG39" s="34">
        <f>VLOOKUP($A39,'[1]Init $$'!$B$3:$CG$118,33,FALSE)</f>
        <v>164340</v>
      </c>
      <c r="AH39" s="43">
        <f>'Est gen ed 23 $$'!AH39/'Est gen ed 23 pos'!AH$123</f>
        <v>1</v>
      </c>
      <c r="AI39" s="43">
        <f>'Est gen ed 23 $$'!AI39/'Est gen ed 23 pos'!AI$123</f>
        <v>1.9999999121515879</v>
      </c>
      <c r="AJ39" s="43">
        <f>'Est gen ed 23 $$'!AJ39/'Est gen ed 23 pos'!AJ$123</f>
        <v>3.9999998243031758</v>
      </c>
      <c r="AK39" s="43">
        <f>'Est gen ed 23 $$'!AK39/'Est gen ed 23 pos'!AK$123</f>
        <v>2.9999999121515879</v>
      </c>
      <c r="AL39" s="43">
        <f>'Est gen ed 23 $$'!AL39/'Est gen ed 23 pos'!AL$123</f>
        <v>4.9999994893586166</v>
      </c>
      <c r="AM39" s="43">
        <f>'Est gen ed 23 $$'!AM39/'Est gen ed 23 pos'!AM$123</f>
        <v>0</v>
      </c>
      <c r="AN39" s="43">
        <f>'Est gen ed 23 $$'!AN39/'Est gen ed 23 pos'!AN$123</f>
        <v>0</v>
      </c>
      <c r="AO39" s="43">
        <f>'Est gen ed 23 $$'!AO39/'Est gen ed 23 pos'!AO$123</f>
        <v>0</v>
      </c>
      <c r="AP39" s="34">
        <f>VLOOKUP($A39,'[1]Init $$'!$B$3:$CG$118,42,FALSE)</f>
        <v>55548.9</v>
      </c>
      <c r="AQ39" s="34">
        <f>VLOOKUP($A39,'[1]Init $$'!$B$3:$CG$118,43,FALSE)</f>
        <v>0</v>
      </c>
      <c r="AR39" s="43">
        <f>'Est gen ed 23 $$'!AR39/'Est gen ed 23 pos'!AR$123</f>
        <v>0</v>
      </c>
      <c r="AS39" s="43">
        <f>'Est gen ed 23 $$'!AS39/'Est gen ed 23 pos'!AS$123</f>
        <v>4.9999978037896929E-2</v>
      </c>
      <c r="AT39" s="43">
        <f>'Est gen ed 23 $$'!AT39/'Est gen ed 23 pos'!AT$123</f>
        <v>0</v>
      </c>
      <c r="AU39" s="34">
        <f>VLOOKUP($A39,'[1]Init $$'!$B$3:$CG$118,47,FALSE)</f>
        <v>1791.9</v>
      </c>
      <c r="AV39" s="34">
        <f>VLOOKUP($A39,'[1]Init $$'!$B$3:$CG$118,48,FALSE)</f>
        <v>34000</v>
      </c>
      <c r="AW39" s="34">
        <f>VLOOKUP($A39,'[1]Init $$'!$B$3:$CG$118,49,FALSE)</f>
        <v>27200</v>
      </c>
      <c r="AX39" s="34">
        <f>VLOOKUP($A39,'[1]Init $$'!$B$3:$CG$118,50,FALSE)</f>
        <v>10200</v>
      </c>
      <c r="AY39" s="34">
        <f>VLOOKUP($A39,'[1]Init $$'!$B$3:$CG$118,51,FALSE)</f>
        <v>0</v>
      </c>
      <c r="AZ39" s="34">
        <f>VLOOKUP($A39,'[1]Init $$'!$B$3:$CG$118,52,FALSE)</f>
        <v>27200</v>
      </c>
      <c r="BA39" s="34">
        <f>VLOOKUP($A39,'[1]Init $$'!$B$3:$CG$118,53,FALSE)</f>
        <v>0</v>
      </c>
      <c r="BB39" s="34">
        <f>VLOOKUP($A39,'[1]Init $$'!$B$3:$CG$118,54,FALSE)</f>
        <v>20400</v>
      </c>
      <c r="BC39" s="34">
        <f>VLOOKUP($A39,'[1]Init $$'!$B$3:$CG$118,55,FALSE)</f>
        <v>269508.23</v>
      </c>
      <c r="BD39" s="34">
        <f>VLOOKUP($A39,'[1]Init $$'!$B$3:$CG$118,56,FALSE)</f>
        <v>4341.1099999999997</v>
      </c>
      <c r="BE39" s="34">
        <f>VLOOKUP($A39,'[1]Init $$'!$B$3:$CG$118,57,FALSE)</f>
        <v>0</v>
      </c>
      <c r="BF39" s="43">
        <f>'Est gen ed 23 $$'!BF39/'Est gen ed 23 pos'!BF$123</f>
        <v>0</v>
      </c>
      <c r="BG39" s="43">
        <f>'Est gen ed 23 $$'!BG39/'Est gen ed 23 pos'!BG$123</f>
        <v>0</v>
      </c>
      <c r="BH39" s="34">
        <f>VLOOKUP($A39,'[1]Init $$'!$B$3:$CG$118,60,FALSE)</f>
        <v>0</v>
      </c>
      <c r="BI39" s="34">
        <f>VLOOKUP($A39,'[1]Init $$'!$B$3:$CG$118,61,FALSE)</f>
        <v>0</v>
      </c>
      <c r="BJ39" s="34">
        <f>VLOOKUP($A39,'[1]Init $$'!$B$3:$CG$118,62,FALSE)</f>
        <v>0</v>
      </c>
      <c r="BK39" s="43">
        <f>'Est gen ed 23 $$'!BK39/'Est gen ed 23 pos'!BK$123</f>
        <v>0</v>
      </c>
      <c r="BL39" s="34">
        <f>VLOOKUP($A39,'[1]Init $$'!$B$3:$CG$118,64,FALSE)</f>
        <v>0</v>
      </c>
      <c r="BM39" s="43">
        <f>'Est gen ed 23 $$'!BM39/'Est gen ed 23 pos'!BM$123</f>
        <v>0</v>
      </c>
      <c r="BN39" s="34">
        <f>VLOOKUP($A39,'[1]Init $$'!$B$3:$CG$118,66,FALSE)</f>
        <v>0</v>
      </c>
      <c r="BO39" s="43">
        <f>'Est gen ed 23 $$'!BO39/'Est gen ed 23 pos'!BO$123</f>
        <v>0</v>
      </c>
      <c r="BP39" s="34">
        <f>VLOOKUP($A39,'[1]Init $$'!$B$3:$CG$118,68,FALSE)</f>
        <v>0</v>
      </c>
      <c r="BQ39" s="43">
        <f>'Est gen ed 23 $$'!BQ39/'Est gen ed 23 pos'!BQ$123</f>
        <v>0</v>
      </c>
      <c r="BR39" s="43">
        <f>'Est gen ed 23 $$'!BR39/'Est gen ed 23 pos'!BR$123</f>
        <v>0</v>
      </c>
      <c r="BS39" s="34">
        <f>VLOOKUP($A39,'[1]Init $$'!$B$3:$CG$118,71,FALSE)</f>
        <v>0</v>
      </c>
      <c r="BT39" s="34">
        <f>VLOOKUP($A39,'[1]Init $$'!$B$3:$CG$118,72,FALSE)</f>
        <v>0</v>
      </c>
      <c r="BU39" s="34">
        <f>VLOOKUP($A39,'[1]Init $$'!$B$3:$CG$118,73,FALSE)</f>
        <v>15325</v>
      </c>
      <c r="BV39" s="34">
        <f>VLOOKUP($A39,'[1]Init $$'!$B$3:$CG$118,74,FALSE)</f>
        <v>0</v>
      </c>
      <c r="BW39" s="34">
        <f>VLOOKUP($A39,'[1]Init $$'!$B$3:$CG$118,75,FALSE)</f>
        <v>0</v>
      </c>
      <c r="BX39" s="43">
        <f>'Est gen ed 23 $$'!BX39/'Est gen ed 23 pos'!BX$123</f>
        <v>0</v>
      </c>
      <c r="BY39" s="43">
        <f>'Est gen ed 23 $$'!BY39/'Est gen ed 23 pos'!BY$123</f>
        <v>0</v>
      </c>
      <c r="BZ39" s="43">
        <f>'Est gen ed 23 $$'!BZ39/'Est gen ed 23 pos'!BZ$123</f>
        <v>0</v>
      </c>
      <c r="CA39" s="34">
        <f>VLOOKUP($A39,'[1]Init $$'!$B$3:$CG$118,79,FALSE)</f>
        <v>1056906.58</v>
      </c>
      <c r="CB39" s="34">
        <f>VLOOKUP($A39,'[1]Init $$'!$B$3:$CG$118,80,FALSE)</f>
        <v>232708.08</v>
      </c>
      <c r="CC39" s="34">
        <f>VLOOKUP($A39,'[1]Init $$'!$B$3:$CG$118,81,FALSE)</f>
        <v>0</v>
      </c>
      <c r="CD39" s="34">
        <f>VLOOKUP($A39,'[1]Init $$'!$B$3:$CG$118,82,FALSE)</f>
        <v>0</v>
      </c>
      <c r="CE39" s="34">
        <f>VLOOKUP($A39,'[1]Init $$'!$B$3:$CG$118,83,FALSE)</f>
        <v>0</v>
      </c>
      <c r="CF39" s="34">
        <f>VLOOKUP($A39,'[1]Init $$'!$B$3:$CG$118,84,FALSE)</f>
        <v>0</v>
      </c>
      <c r="CJ39" s="28">
        <f t="shared" si="2"/>
        <v>5213000.899998581</v>
      </c>
      <c r="CK39" s="43">
        <f>'Est gen ed 23 $$'!CK39/'Est gen ed 23 pos'!CK$123</f>
        <v>0.99999604682144683</v>
      </c>
      <c r="CL39" s="43">
        <f>'Est gen ed 23 $$'!CL39/'Est gen ed 23 pos'!CL$123</f>
        <v>1.2450000000000001</v>
      </c>
      <c r="CM39" s="43">
        <f>'Est gen ed 23 $$'!CM39/'Est gen ed 23 pos'!CM$123</f>
        <v>1</v>
      </c>
      <c r="CN39" s="43">
        <f>'Est gen ed 23 $$'!CN39/'Est gen ed 23 pos'!CN$123</f>
        <v>0.80321285140562249</v>
      </c>
      <c r="CO39" s="43">
        <f>'Est gen ed 23 $$'!CO39/'Est gen ed 23 pos'!CO$123</f>
        <v>0</v>
      </c>
      <c r="CP39" s="43">
        <f>'Est gen ed 23 $$'!CP39/'Est gen ed 23 pos'!CP$123</f>
        <v>0</v>
      </c>
      <c r="CQ39" s="43">
        <f>'Est gen ed 23 $$'!CQ39/'Est gen ed 23 pos'!CQ$123</f>
        <v>1</v>
      </c>
      <c r="CR39" s="43">
        <f>'Est gen ed 23 $$'!CR39/'Est gen ed 23 pos'!CR$123</f>
        <v>1</v>
      </c>
      <c r="CS39" s="43">
        <f>'Est gen ed 23 $$'!CS39/'Est gen ed 23 pos'!CS$123</f>
        <v>1.5</v>
      </c>
      <c r="CT39" s="43">
        <f>'Est gen ed 23 $$'!CT39/'Est gen ed 23 pos'!CT$123</f>
        <v>3</v>
      </c>
      <c r="CU39" s="43">
        <f>'Est gen ed 23 $$'!CU39/'Est gen ed 23 pos'!CU$123</f>
        <v>24</v>
      </c>
      <c r="CZ39" s="43">
        <f>'Est gen ed 23 $$'!CW39/'Est gen ed 23 pos'!CZ$123</f>
        <v>0</v>
      </c>
      <c r="DB39" s="28">
        <f t="shared" si="3"/>
        <v>3150757.5</v>
      </c>
      <c r="DC39" s="28">
        <f t="shared" si="0"/>
        <v>0</v>
      </c>
      <c r="DK39" s="34"/>
      <c r="DL39" s="34"/>
    </row>
    <row r="40" spans="1:116" x14ac:dyDescent="0.2">
      <c r="A40">
        <v>238</v>
      </c>
      <c r="B40" t="s">
        <v>89</v>
      </c>
      <c r="C40" t="s">
        <v>7</v>
      </c>
      <c r="D40">
        <v>8</v>
      </c>
      <c r="E40">
        <f>VLOOKUP($A40,'[1]Init $$'!$B$3:$CG$118,4,FALSE)</f>
        <v>251</v>
      </c>
      <c r="F40">
        <f>VLOOKUP($A40,'[1]Init $$'!$B$3:$CG$118,6,FALSE)</f>
        <v>202</v>
      </c>
      <c r="G40">
        <f>VLOOKUP($A40,'[2]$$xSchpostCouncilxLevel'!$A$4:$EW$120,153,FALSE)</f>
        <v>191</v>
      </c>
      <c r="H40" s="50">
        <f t="shared" si="1"/>
        <v>11</v>
      </c>
      <c r="I40" s="4">
        <f>VLOOKUP($A40,'[1]Init $$'!$B$3:$CG$118,8,FALSE)</f>
        <v>0.84063745019920322</v>
      </c>
      <c r="J40">
        <f>VLOOKUP($A40,'[1]Init $$'!$B$3:$CG$118,7,FALSE)</f>
        <v>211</v>
      </c>
      <c r="K40" s="43">
        <f>'Est gen ed 23 $$'!K40/'Est gen ed 23 pos'!K$123</f>
        <v>1</v>
      </c>
      <c r="L40" s="43">
        <f>'Est gen ed 23 $$'!L40/'Est gen ed 23 pos'!L$123</f>
        <v>0</v>
      </c>
      <c r="M40" s="43">
        <f>'Est gen ed 23 $$'!M40/'Est gen ed 23 pos'!M$123</f>
        <v>0</v>
      </c>
      <c r="N40" s="43">
        <f>'Est gen ed 23 $$'!N40/'Est gen ed 23 pos'!N$123</f>
        <v>1</v>
      </c>
      <c r="O40" s="34">
        <f>VLOOKUP($A40,'[1]Init $$'!$B$3:$CG$118,15,FALSE)</f>
        <v>5599.7</v>
      </c>
      <c r="P40" s="43">
        <f>'Est gen ed 23 $$'!P40/'Est gen ed 23 pos'!P$123</f>
        <v>1</v>
      </c>
      <c r="Q40" s="43">
        <f>'Est gen ed 23 $$'!Q40/'Est gen ed 23 pos'!Q$123</f>
        <v>1</v>
      </c>
      <c r="R40" s="43">
        <f>'Est gen ed 23 $$'!R40/'Est gen ed 23 pos'!R$123</f>
        <v>1</v>
      </c>
      <c r="S40" s="43">
        <f>'Est gen ed 23 $$'!S40/'Est gen ed 23 pos'!S$123</f>
        <v>1</v>
      </c>
      <c r="T40" s="43">
        <f>'Est gen ed 23 $$'!T40/'Est gen ed 23 pos'!T$123</f>
        <v>1</v>
      </c>
      <c r="U40" s="43">
        <f>'Est gen ed 23 $$'!U40/'Est gen ed 23 pos'!U$123</f>
        <v>1</v>
      </c>
      <c r="V40" s="43">
        <f>'Est gen ed 23 $$'!V40/'Est gen ed 23 pos'!V$123</f>
        <v>1</v>
      </c>
      <c r="W40" s="43">
        <f>'Est gen ed 23 $$'!W40/'Est gen ed 23 pos'!W$123</f>
        <v>2.9999997446793083</v>
      </c>
      <c r="X40" s="34">
        <f>VLOOKUP($A40,'[1]Init $$'!$B$3:$CG$118,24,FALSE)</f>
        <v>87803.1</v>
      </c>
      <c r="Y40" s="34">
        <f>VLOOKUP($A40,'[1]Init $$'!$B$3:$CG$118,25,FALSE)</f>
        <v>0</v>
      </c>
      <c r="Z40" s="34">
        <f>VLOOKUP($A40,'[1]Init $$'!$B$3:$CG$118,26,FALSE)</f>
        <v>0</v>
      </c>
      <c r="AA40" s="34">
        <f>VLOOKUP($A40,'[1]Init $$'!$B$3:$CG$118,27,FALSE)</f>
        <v>0</v>
      </c>
      <c r="AB40" s="43">
        <f>'Est gen ed 23 $$'!AB40/'Est gen ed 23 pos'!AB$123</f>
        <v>0</v>
      </c>
      <c r="AC40" s="43">
        <f>'Est gen ed 23 $$'!AC40/'Est gen ed 23 pos'!AC$123</f>
        <v>0</v>
      </c>
      <c r="AD40" s="43">
        <f>'Est gen ed 23 $$'!AD40/'Est gen ed 23 pos'!AD$123</f>
        <v>0</v>
      </c>
      <c r="AE40" s="43">
        <f>'Est gen ed 23 $$'!AE40/'Est gen ed 23 pos'!AE$123</f>
        <v>0</v>
      </c>
      <c r="AF40" s="34">
        <f>VLOOKUP($A40,'[1]Init $$'!$B$3:$CG$118,32,FALSE)</f>
        <v>1206546</v>
      </c>
      <c r="AG40" s="34">
        <f>VLOOKUP($A40,'[1]Init $$'!$B$3:$CG$118,33,FALSE)</f>
        <v>81575</v>
      </c>
      <c r="AH40" s="43">
        <f>'Est gen ed 23 $$'!AH40/'Est gen ed 23 pos'!AH$123</f>
        <v>1</v>
      </c>
      <c r="AI40" s="43">
        <f>'Est gen ed 23 $$'!AI40/'Est gen ed 23 pos'!AI$123</f>
        <v>1</v>
      </c>
      <c r="AJ40" s="43">
        <f>'Est gen ed 23 $$'!AJ40/'Est gen ed 23 pos'!AJ$123</f>
        <v>2.9999999121515879</v>
      </c>
      <c r="AK40" s="43">
        <f>'Est gen ed 23 $$'!AK40/'Est gen ed 23 pos'!AK$123</f>
        <v>2.9999999121515879</v>
      </c>
      <c r="AL40" s="43">
        <f>'Est gen ed 23 $$'!AL40/'Est gen ed 23 pos'!AL$123</f>
        <v>5.9999994893586166</v>
      </c>
      <c r="AM40" s="43">
        <f>'Est gen ed 23 $$'!AM40/'Est gen ed 23 pos'!AM$123</f>
        <v>0</v>
      </c>
      <c r="AN40" s="43">
        <f>'Est gen ed 23 $$'!AN40/'Est gen ed 23 pos'!AN$123</f>
        <v>0</v>
      </c>
      <c r="AO40" s="43">
        <f>'Est gen ed 23 $$'!AO40/'Est gen ed 23 pos'!AO$123</f>
        <v>0</v>
      </c>
      <c r="AP40" s="34">
        <f>VLOOKUP($A40,'[1]Init $$'!$B$3:$CG$118,42,FALSE)</f>
        <v>86011.199999999997</v>
      </c>
      <c r="AQ40" s="34">
        <f>VLOOKUP($A40,'[1]Init $$'!$B$3:$CG$118,43,FALSE)</f>
        <v>0</v>
      </c>
      <c r="AR40" s="43">
        <f>'Est gen ed 23 $$'!AR40/'Est gen ed 23 pos'!AR$123</f>
        <v>0</v>
      </c>
      <c r="AS40" s="43">
        <f>'Est gen ed 23 $$'!AS40/'Est gen ed 23 pos'!AS$123</f>
        <v>4.9999978037896929E-2</v>
      </c>
      <c r="AT40" s="43">
        <f>'Est gen ed 23 $$'!AT40/'Est gen ed 23 pos'!AT$123</f>
        <v>0</v>
      </c>
      <c r="AU40" s="34">
        <f>VLOOKUP($A40,'[1]Init $$'!$B$3:$CG$118,47,FALSE)</f>
        <v>1791.9</v>
      </c>
      <c r="AV40" s="34">
        <f>VLOOKUP($A40,'[1]Init $$'!$B$3:$CG$118,48,FALSE)</f>
        <v>20400</v>
      </c>
      <c r="AW40" s="34">
        <f>VLOOKUP($A40,'[1]Init $$'!$B$3:$CG$118,49,FALSE)</f>
        <v>13600</v>
      </c>
      <c r="AX40" s="34">
        <f>VLOOKUP($A40,'[1]Init $$'!$B$3:$CG$118,50,FALSE)</f>
        <v>10200</v>
      </c>
      <c r="AY40" s="34">
        <f>VLOOKUP($A40,'[1]Init $$'!$B$3:$CG$118,51,FALSE)</f>
        <v>0</v>
      </c>
      <c r="AZ40" s="34">
        <f>VLOOKUP($A40,'[1]Init $$'!$B$3:$CG$118,52,FALSE)</f>
        <v>20400</v>
      </c>
      <c r="BA40" s="34">
        <f>VLOOKUP($A40,'[1]Init $$'!$B$3:$CG$118,53,FALSE)</f>
        <v>0</v>
      </c>
      <c r="BB40" s="34">
        <f>VLOOKUP($A40,'[1]Init $$'!$B$3:$CG$118,54,FALSE)</f>
        <v>13600</v>
      </c>
      <c r="BC40" s="34">
        <f>VLOOKUP($A40,'[1]Init $$'!$B$3:$CG$118,55,FALSE)</f>
        <v>135836.48000000001</v>
      </c>
      <c r="BD40" s="34">
        <f>VLOOKUP($A40,'[1]Init $$'!$B$3:$CG$118,56,FALSE)</f>
        <v>2187.9899999999998</v>
      </c>
      <c r="BE40" s="34">
        <f>VLOOKUP($A40,'[1]Init $$'!$B$3:$CG$118,57,FALSE)</f>
        <v>0</v>
      </c>
      <c r="BF40" s="43">
        <f>'Est gen ed 23 $$'!BF40/'Est gen ed 23 pos'!BF$123</f>
        <v>0</v>
      </c>
      <c r="BG40" s="43">
        <f>'Est gen ed 23 $$'!BG40/'Est gen ed 23 pos'!BG$123</f>
        <v>0</v>
      </c>
      <c r="BH40" s="34">
        <f>VLOOKUP($A40,'[1]Init $$'!$B$3:$CG$118,60,FALSE)</f>
        <v>0</v>
      </c>
      <c r="BI40" s="34">
        <f>VLOOKUP($A40,'[1]Init $$'!$B$3:$CG$118,61,FALSE)</f>
        <v>0</v>
      </c>
      <c r="BJ40" s="34">
        <f>VLOOKUP($A40,'[1]Init $$'!$B$3:$CG$118,62,FALSE)</f>
        <v>0</v>
      </c>
      <c r="BK40" s="43">
        <f>'Est gen ed 23 $$'!BK40/'Est gen ed 23 pos'!BK$123</f>
        <v>0</v>
      </c>
      <c r="BL40" s="34">
        <f>VLOOKUP($A40,'[1]Init $$'!$B$3:$CG$118,64,FALSE)</f>
        <v>0</v>
      </c>
      <c r="BM40" s="43">
        <f>'Est gen ed 23 $$'!BM40/'Est gen ed 23 pos'!BM$123</f>
        <v>0</v>
      </c>
      <c r="BN40" s="34">
        <f>VLOOKUP($A40,'[1]Init $$'!$B$3:$CG$118,66,FALSE)</f>
        <v>0</v>
      </c>
      <c r="BO40" s="43">
        <f>'Est gen ed 23 $$'!BO40/'Est gen ed 23 pos'!BO$123</f>
        <v>0</v>
      </c>
      <c r="BP40" s="34">
        <f>VLOOKUP($A40,'[1]Init $$'!$B$3:$CG$118,68,FALSE)</f>
        <v>0</v>
      </c>
      <c r="BQ40" s="43">
        <f>'Est gen ed 23 $$'!BQ40/'Est gen ed 23 pos'!BQ$123</f>
        <v>0</v>
      </c>
      <c r="BR40" s="43">
        <f>'Est gen ed 23 $$'!BR40/'Est gen ed 23 pos'!BR$123</f>
        <v>0</v>
      </c>
      <c r="BS40" s="34">
        <f>VLOOKUP($A40,'[1]Init $$'!$B$3:$CG$118,71,FALSE)</f>
        <v>0</v>
      </c>
      <c r="BT40" s="34">
        <f>VLOOKUP($A40,'[1]Init $$'!$B$3:$CG$118,72,FALSE)</f>
        <v>0</v>
      </c>
      <c r="BU40" s="34">
        <f>VLOOKUP($A40,'[1]Init $$'!$B$3:$CG$118,73,FALSE)</f>
        <v>15325</v>
      </c>
      <c r="BV40" s="34">
        <f>VLOOKUP($A40,'[1]Init $$'!$B$3:$CG$118,74,FALSE)</f>
        <v>0</v>
      </c>
      <c r="BW40" s="34">
        <f>VLOOKUP($A40,'[1]Init $$'!$B$3:$CG$118,75,FALSE)</f>
        <v>0</v>
      </c>
      <c r="BX40" s="43">
        <f>'Est gen ed 23 $$'!BX40/'Est gen ed 23 pos'!BX$123</f>
        <v>0</v>
      </c>
      <c r="BY40" s="43">
        <f>'Est gen ed 23 $$'!BY40/'Est gen ed 23 pos'!BY$123</f>
        <v>0</v>
      </c>
      <c r="BZ40" s="43">
        <f>'Est gen ed 23 $$'!BZ40/'Est gen ed 23 pos'!BZ$123</f>
        <v>0</v>
      </c>
      <c r="CA40" s="34">
        <f>VLOOKUP($A40,'[1]Init $$'!$B$3:$CG$118,79,FALSE)</f>
        <v>566008.34</v>
      </c>
      <c r="CB40" s="34">
        <f>VLOOKUP($A40,'[1]Init $$'!$B$3:$CG$118,80,FALSE)</f>
        <v>132122.76</v>
      </c>
      <c r="CC40" s="34">
        <f>VLOOKUP($A40,'[1]Init $$'!$B$3:$CG$118,81,FALSE)</f>
        <v>0</v>
      </c>
      <c r="CD40" s="34">
        <f>VLOOKUP($A40,'[1]Init $$'!$B$3:$CG$118,82,FALSE)</f>
        <v>0</v>
      </c>
      <c r="CE40" s="34">
        <f>VLOOKUP($A40,'[1]Init $$'!$B$3:$CG$118,83,FALSE)</f>
        <v>360673.1</v>
      </c>
      <c r="CF40" s="34">
        <f>VLOOKUP($A40,'[1]Init $$'!$B$3:$CG$118,84,FALSE)</f>
        <v>0</v>
      </c>
      <c r="CJ40" s="28">
        <f t="shared" si="2"/>
        <v>2759706.6199990367</v>
      </c>
      <c r="CK40" s="43">
        <f>'Est gen ed 23 $$'!CK40/'Est gen ed 23 pos'!CK$123</f>
        <v>0.99999604682144683</v>
      </c>
      <c r="CL40" s="43">
        <f>'Est gen ed 23 $$'!CL40/'Est gen ed 23 pos'!CL$123</f>
        <v>0</v>
      </c>
      <c r="CM40" s="43">
        <f>'Est gen ed 23 $$'!CM40/'Est gen ed 23 pos'!CM$123</f>
        <v>0.5</v>
      </c>
      <c r="CN40" s="43">
        <f>'Est gen ed 23 $$'!CN40/'Est gen ed 23 pos'!CN$123</f>
        <v>0</v>
      </c>
      <c r="CO40" s="43">
        <f>'Est gen ed 23 $$'!CO40/'Est gen ed 23 pos'!CO$123</f>
        <v>0</v>
      </c>
      <c r="CP40" s="43">
        <f>'Est gen ed 23 $$'!CP40/'Est gen ed 23 pos'!CP$123</f>
        <v>0</v>
      </c>
      <c r="CQ40" s="43">
        <f>'Est gen ed 23 $$'!CQ40/'Est gen ed 23 pos'!CQ$123</f>
        <v>0.99999604682144683</v>
      </c>
      <c r="CR40" s="43">
        <f>'Est gen ed 23 $$'!CR40/'Est gen ed 23 pos'!CR$123</f>
        <v>0.99999604682144683</v>
      </c>
      <c r="CS40" s="43">
        <f>'Est gen ed 23 $$'!CS40/'Est gen ed 23 pos'!CS$123</f>
        <v>1.4999940702321701</v>
      </c>
      <c r="CT40" s="43">
        <f>'Est gen ed 23 $$'!CT40/'Est gen ed 23 pos'!CT$123</f>
        <v>2</v>
      </c>
      <c r="CU40" s="43">
        <f>'Est gen ed 23 $$'!CU40/'Est gen ed 23 pos'!CU$123</f>
        <v>12</v>
      </c>
      <c r="CZ40" s="43">
        <f>'Est gen ed 23 $$'!CW40/'Est gen ed 23 pos'!CZ$123</f>
        <v>0</v>
      </c>
      <c r="DB40" s="28">
        <f t="shared" si="3"/>
        <v>1206546</v>
      </c>
      <c r="DC40" s="28">
        <f t="shared" si="0"/>
        <v>360673.1</v>
      </c>
      <c r="DK40" s="34"/>
      <c r="DL40" s="34"/>
    </row>
    <row r="41" spans="1:116" x14ac:dyDescent="0.2">
      <c r="A41">
        <v>239</v>
      </c>
      <c r="B41" t="s">
        <v>88</v>
      </c>
      <c r="C41" t="s">
        <v>7</v>
      </c>
      <c r="D41">
        <v>2</v>
      </c>
      <c r="E41">
        <f>VLOOKUP($A41,'[1]Init $$'!$B$3:$CG$118,4,FALSE)</f>
        <v>354</v>
      </c>
      <c r="F41">
        <f>VLOOKUP($A41,'[1]Init $$'!$B$3:$CG$118,6,FALSE)</f>
        <v>277</v>
      </c>
      <c r="G41">
        <f>VLOOKUP($A41,'[2]$$xSchpostCouncilxLevel'!$A$4:$EW$120,153,FALSE)</f>
        <v>260</v>
      </c>
      <c r="H41" s="50">
        <f t="shared" si="1"/>
        <v>17</v>
      </c>
      <c r="I41" s="4">
        <f>VLOOKUP($A41,'[1]Init $$'!$B$3:$CG$118,8,FALSE)</f>
        <v>0.41807909604519772</v>
      </c>
      <c r="J41">
        <f>VLOOKUP($A41,'[1]Init $$'!$B$3:$CG$118,7,FALSE)</f>
        <v>148</v>
      </c>
      <c r="K41" s="43">
        <f>'Est gen ed 23 $$'!K41/'Est gen ed 23 pos'!K$123</f>
        <v>1</v>
      </c>
      <c r="L41" s="43">
        <f>'Est gen ed 23 $$'!L41/'Est gen ed 23 pos'!L$123</f>
        <v>0</v>
      </c>
      <c r="M41" s="43">
        <f>'Est gen ed 23 $$'!M41/'Est gen ed 23 pos'!M$123</f>
        <v>0</v>
      </c>
      <c r="N41" s="43">
        <f>'Est gen ed 23 $$'!N41/'Est gen ed 23 pos'!N$123</f>
        <v>1</v>
      </c>
      <c r="O41" s="34">
        <f>VLOOKUP($A41,'[1]Init $$'!$B$3:$CG$118,15,FALSE)</f>
        <v>5466</v>
      </c>
      <c r="P41" s="43">
        <f>'Est gen ed 23 $$'!P41/'Est gen ed 23 pos'!P$123</f>
        <v>1</v>
      </c>
      <c r="Q41" s="43">
        <f>'Est gen ed 23 $$'!Q41/'Est gen ed 23 pos'!Q$123</f>
        <v>1</v>
      </c>
      <c r="R41" s="43">
        <f>'Est gen ed 23 $$'!R41/'Est gen ed 23 pos'!R$123</f>
        <v>2.0000001953611113</v>
      </c>
      <c r="S41" s="43">
        <f>'Est gen ed 23 $$'!S41/'Est gen ed 23 pos'!S$123</f>
        <v>1</v>
      </c>
      <c r="T41" s="43">
        <f>'Est gen ed 23 $$'!T41/'Est gen ed 23 pos'!T$123</f>
        <v>1.9999999121515879</v>
      </c>
      <c r="U41" s="43">
        <f>'Est gen ed 23 $$'!U41/'Est gen ed 23 pos'!U$123</f>
        <v>1</v>
      </c>
      <c r="V41" s="43">
        <f>'Est gen ed 23 $$'!V41/'Est gen ed 23 pos'!V$123</f>
        <v>1.9999999121515879</v>
      </c>
      <c r="W41" s="43">
        <f>'Est gen ed 23 $$'!W41/'Est gen ed 23 pos'!W$123</f>
        <v>4.9999994893586166</v>
      </c>
      <c r="X41" s="34">
        <f>VLOOKUP($A41,'[1]Init $$'!$B$3:$CG$118,24,FALSE)</f>
        <v>137976.29999999999</v>
      </c>
      <c r="Y41" s="34">
        <f>VLOOKUP($A41,'[1]Init $$'!$B$3:$CG$118,25,FALSE)</f>
        <v>0</v>
      </c>
      <c r="Z41" s="34">
        <f>VLOOKUP($A41,'[1]Init $$'!$B$3:$CG$118,26,FALSE)</f>
        <v>0</v>
      </c>
      <c r="AA41" s="34">
        <f>VLOOKUP($A41,'[1]Init $$'!$B$3:$CG$118,27,FALSE)</f>
        <v>0</v>
      </c>
      <c r="AB41" s="43">
        <f>'Est gen ed 23 $$'!AB41/'Est gen ed 23 pos'!AB$123</f>
        <v>0</v>
      </c>
      <c r="AC41" s="43">
        <f>'Est gen ed 23 $$'!AC41/'Est gen ed 23 pos'!AC$123</f>
        <v>0</v>
      </c>
      <c r="AD41" s="43">
        <f>'Est gen ed 23 $$'!AD41/'Est gen ed 23 pos'!AD$123</f>
        <v>0</v>
      </c>
      <c r="AE41" s="43">
        <f>'Est gen ed 23 $$'!AE41/'Est gen ed 23 pos'!AE$123</f>
        <v>0</v>
      </c>
      <c r="AF41" s="34">
        <f>VLOOKUP($A41,'[1]Init $$'!$B$3:$CG$118,32,FALSE)</f>
        <v>1654521</v>
      </c>
      <c r="AG41" s="34">
        <f>VLOOKUP($A41,'[1]Init $$'!$B$3:$CG$118,33,FALSE)</f>
        <v>115050</v>
      </c>
      <c r="AH41" s="43">
        <f>'Est gen ed 23 $$'!AH41/'Est gen ed 23 pos'!AH$123</f>
        <v>1</v>
      </c>
      <c r="AI41" s="43">
        <f>'Est gen ed 23 $$'!AI41/'Est gen ed 23 pos'!AI$123</f>
        <v>1</v>
      </c>
      <c r="AJ41" s="43">
        <f>'Est gen ed 23 $$'!AJ41/'Est gen ed 23 pos'!AJ$123</f>
        <v>3.9999998243031758</v>
      </c>
      <c r="AK41" s="43">
        <f>'Est gen ed 23 $$'!AK41/'Est gen ed 23 pos'!AK$123</f>
        <v>3.9999998243031758</v>
      </c>
      <c r="AL41" s="43">
        <f>'Est gen ed 23 $$'!AL41/'Est gen ed 23 pos'!AL$123</f>
        <v>5.9999994893586166</v>
      </c>
      <c r="AM41" s="43">
        <f>'Est gen ed 23 $$'!AM41/'Est gen ed 23 pos'!AM$123</f>
        <v>0</v>
      </c>
      <c r="AN41" s="43">
        <f>'Est gen ed 23 $$'!AN41/'Est gen ed 23 pos'!AN$123</f>
        <v>0</v>
      </c>
      <c r="AO41" s="43">
        <f>'Est gen ed 23 $$'!AO41/'Est gen ed 23 pos'!AO$123</f>
        <v>0</v>
      </c>
      <c r="AP41" s="34">
        <f>VLOOKUP($A41,'[1]Init $$'!$B$3:$CG$118,42,FALSE)</f>
        <v>141560.1</v>
      </c>
      <c r="AQ41" s="34">
        <f>VLOOKUP($A41,'[1]Init $$'!$B$3:$CG$118,43,FALSE)</f>
        <v>0</v>
      </c>
      <c r="AR41" s="43">
        <f>'Est gen ed 23 $$'!AR41/'Est gen ed 23 pos'!AR$123</f>
        <v>4.9999998243031758</v>
      </c>
      <c r="AS41" s="43">
        <f>'Est gen ed 23 $$'!AS41/'Est gen ed 23 pos'!AS$123</f>
        <v>0</v>
      </c>
      <c r="AT41" s="43">
        <f>'Est gen ed 23 $$'!AT41/'Est gen ed 23 pos'!AT$123</f>
        <v>0</v>
      </c>
      <c r="AU41" s="34">
        <f>VLOOKUP($A41,'[1]Init $$'!$B$3:$CG$118,47,FALSE)</f>
        <v>179190</v>
      </c>
      <c r="AV41" s="34">
        <f>VLOOKUP($A41,'[1]Init $$'!$B$3:$CG$118,48,FALSE)</f>
        <v>20400</v>
      </c>
      <c r="AW41" s="34">
        <f>VLOOKUP($A41,'[1]Init $$'!$B$3:$CG$118,49,FALSE)</f>
        <v>13600</v>
      </c>
      <c r="AX41" s="34">
        <f>VLOOKUP($A41,'[1]Init $$'!$B$3:$CG$118,50,FALSE)</f>
        <v>10200</v>
      </c>
      <c r="AY41" s="34">
        <f>VLOOKUP($A41,'[1]Init $$'!$B$3:$CG$118,51,FALSE)</f>
        <v>0</v>
      </c>
      <c r="AZ41" s="34">
        <f>VLOOKUP($A41,'[1]Init $$'!$B$3:$CG$118,52,FALSE)</f>
        <v>20400</v>
      </c>
      <c r="BA41" s="34">
        <f>VLOOKUP($A41,'[1]Init $$'!$B$3:$CG$118,53,FALSE)</f>
        <v>0</v>
      </c>
      <c r="BB41" s="34">
        <f>VLOOKUP($A41,'[1]Init $$'!$B$3:$CG$118,54,FALSE)</f>
        <v>13600</v>
      </c>
      <c r="BC41" s="34">
        <f>VLOOKUP($A41,'[1]Init $$'!$B$3:$CG$118,55,FALSE)</f>
        <v>85723.1</v>
      </c>
      <c r="BD41" s="34">
        <f>VLOOKUP($A41,'[1]Init $$'!$B$3:$CG$118,56,FALSE)</f>
        <v>1380.79</v>
      </c>
      <c r="BE41" s="34">
        <f>VLOOKUP($A41,'[1]Init $$'!$B$3:$CG$118,57,FALSE)</f>
        <v>0</v>
      </c>
      <c r="BF41" s="43">
        <f>'Est gen ed 23 $$'!BF41/'Est gen ed 23 pos'!BF$123</f>
        <v>0</v>
      </c>
      <c r="BG41" s="43">
        <f>'Est gen ed 23 $$'!BG41/'Est gen ed 23 pos'!BG$123</f>
        <v>0</v>
      </c>
      <c r="BH41" s="34">
        <f>VLOOKUP($A41,'[1]Init $$'!$B$3:$CG$118,60,FALSE)</f>
        <v>0</v>
      </c>
      <c r="BI41" s="34">
        <f>VLOOKUP($A41,'[1]Init $$'!$B$3:$CG$118,61,FALSE)</f>
        <v>0</v>
      </c>
      <c r="BJ41" s="34">
        <f>VLOOKUP($A41,'[1]Init $$'!$B$3:$CG$118,62,FALSE)</f>
        <v>0</v>
      </c>
      <c r="BK41" s="43">
        <f>'Est gen ed 23 $$'!BK41/'Est gen ed 23 pos'!BK$123</f>
        <v>0</v>
      </c>
      <c r="BL41" s="34">
        <f>VLOOKUP($A41,'[1]Init $$'!$B$3:$CG$118,64,FALSE)</f>
        <v>0</v>
      </c>
      <c r="BM41" s="43">
        <f>'Est gen ed 23 $$'!BM41/'Est gen ed 23 pos'!BM$123</f>
        <v>0</v>
      </c>
      <c r="BN41" s="34">
        <f>VLOOKUP($A41,'[1]Init $$'!$B$3:$CG$118,66,FALSE)</f>
        <v>0</v>
      </c>
      <c r="BO41" s="43">
        <f>'Est gen ed 23 $$'!BO41/'Est gen ed 23 pos'!BO$123</f>
        <v>0</v>
      </c>
      <c r="BP41" s="34">
        <f>VLOOKUP($A41,'[1]Init $$'!$B$3:$CG$118,68,FALSE)</f>
        <v>0</v>
      </c>
      <c r="BQ41" s="43">
        <f>'Est gen ed 23 $$'!BQ41/'Est gen ed 23 pos'!BQ$123</f>
        <v>0</v>
      </c>
      <c r="BR41" s="43">
        <f>'Est gen ed 23 $$'!BR41/'Est gen ed 23 pos'!BR$123</f>
        <v>0</v>
      </c>
      <c r="BS41" s="34">
        <f>VLOOKUP($A41,'[1]Init $$'!$B$3:$CG$118,71,FALSE)</f>
        <v>0</v>
      </c>
      <c r="BT41" s="34">
        <f>VLOOKUP($A41,'[1]Init $$'!$B$3:$CG$118,72,FALSE)</f>
        <v>0</v>
      </c>
      <c r="BU41" s="34">
        <f>VLOOKUP($A41,'[1]Init $$'!$B$3:$CG$118,73,FALSE)</f>
        <v>15325</v>
      </c>
      <c r="BV41" s="34">
        <f>VLOOKUP($A41,'[1]Init $$'!$B$3:$CG$118,74,FALSE)</f>
        <v>0</v>
      </c>
      <c r="BW41" s="34">
        <f>VLOOKUP($A41,'[1]Init $$'!$B$3:$CG$118,75,FALSE)</f>
        <v>0</v>
      </c>
      <c r="BX41" s="43">
        <f>'Est gen ed 23 $$'!BX41/'Est gen ed 23 pos'!BX$123</f>
        <v>0</v>
      </c>
      <c r="BY41" s="43">
        <f>'Est gen ed 23 $$'!BY41/'Est gen ed 23 pos'!BY$123</f>
        <v>0</v>
      </c>
      <c r="BZ41" s="43">
        <f>'Est gen ed 23 $$'!BZ41/'Est gen ed 23 pos'!BZ$123</f>
        <v>0</v>
      </c>
      <c r="CA41" s="34">
        <f>VLOOKUP($A41,'[1]Init $$'!$B$3:$CG$118,79,FALSE)</f>
        <v>397010.59</v>
      </c>
      <c r="CB41" s="34">
        <f>VLOOKUP($A41,'[1]Init $$'!$B$3:$CG$118,80,FALSE)</f>
        <v>7645.44</v>
      </c>
      <c r="CC41" s="34">
        <f>VLOOKUP($A41,'[1]Init $$'!$B$3:$CG$118,81,FALSE)</f>
        <v>0</v>
      </c>
      <c r="CD41" s="34">
        <f>VLOOKUP($A41,'[1]Init $$'!$B$3:$CG$118,82,FALSE)</f>
        <v>0</v>
      </c>
      <c r="CE41" s="34">
        <f>VLOOKUP($A41,'[1]Init $$'!$B$3:$CG$118,83,FALSE)</f>
        <v>0</v>
      </c>
      <c r="CF41" s="34">
        <f>VLOOKUP($A41,'[1]Init $$'!$B$3:$CG$118,84,FALSE)</f>
        <v>0</v>
      </c>
      <c r="CJ41" s="28">
        <f t="shared" si="2"/>
        <v>2819086.3199984711</v>
      </c>
      <c r="CK41" s="43">
        <f>'Est gen ed 23 $$'!CK41/'Est gen ed 23 pos'!CK$123</f>
        <v>0.99999604682144683</v>
      </c>
      <c r="CL41" s="43">
        <f>'Est gen ed 23 $$'!CL41/'Est gen ed 23 pos'!CL$123</f>
        <v>0.88500000000000001</v>
      </c>
      <c r="CM41" s="43">
        <f>'Est gen ed 23 $$'!CM41/'Est gen ed 23 pos'!CM$123</f>
        <v>1</v>
      </c>
      <c r="CN41" s="43">
        <f>'Est gen ed 23 $$'!CN41/'Est gen ed 23 pos'!CN$123</f>
        <v>0</v>
      </c>
      <c r="CO41" s="43">
        <f>'Est gen ed 23 $$'!CO41/'Est gen ed 23 pos'!CO$123</f>
        <v>0</v>
      </c>
      <c r="CP41" s="43">
        <f>'Est gen ed 23 $$'!CP41/'Est gen ed 23 pos'!CP$123</f>
        <v>0</v>
      </c>
      <c r="CQ41" s="43">
        <f>'Est gen ed 23 $$'!CQ41/'Est gen ed 23 pos'!CQ$123</f>
        <v>0.99999604682144683</v>
      </c>
      <c r="CR41" s="43">
        <f>'Est gen ed 23 $$'!CR41/'Est gen ed 23 pos'!CR$123</f>
        <v>0.99999604682144683</v>
      </c>
      <c r="CS41" s="43">
        <f>'Est gen ed 23 $$'!CS41/'Est gen ed 23 pos'!CS$123</f>
        <v>1.4999940702321701</v>
      </c>
      <c r="CT41" s="43">
        <f>'Est gen ed 23 $$'!CT41/'Est gen ed 23 pos'!CT$123</f>
        <v>3</v>
      </c>
      <c r="CU41" s="43">
        <f>'Est gen ed 23 $$'!CU41/'Est gen ed 23 pos'!CU$123</f>
        <v>15</v>
      </c>
      <c r="CZ41" s="43">
        <f>'Est gen ed 23 $$'!CW41/'Est gen ed 23 pos'!CZ$123</f>
        <v>0</v>
      </c>
      <c r="DB41" s="28">
        <f t="shared" si="3"/>
        <v>1654521</v>
      </c>
      <c r="DC41" s="28">
        <f t="shared" si="0"/>
        <v>0</v>
      </c>
      <c r="DK41" s="34"/>
      <c r="DL41" s="34"/>
    </row>
    <row r="42" spans="1:116" x14ac:dyDescent="0.2">
      <c r="A42">
        <v>227</v>
      </c>
      <c r="B42" t="s">
        <v>87</v>
      </c>
      <c r="C42" t="s">
        <v>7</v>
      </c>
      <c r="D42">
        <v>1</v>
      </c>
      <c r="E42">
        <f>VLOOKUP($A42,'[1]Init $$'!$B$3:$CG$118,4,FALSE)</f>
        <v>366</v>
      </c>
      <c r="F42">
        <f>VLOOKUP($A42,'[1]Init $$'!$B$3:$CG$118,6,FALSE)</f>
        <v>293</v>
      </c>
      <c r="G42">
        <f>VLOOKUP($A42,'[2]$$xSchpostCouncilxLevel'!$A$4:$EW$120,153,FALSE)</f>
        <v>324</v>
      </c>
      <c r="H42" s="50">
        <f t="shared" si="1"/>
        <v>-31</v>
      </c>
      <c r="I42" s="4">
        <f>VLOOKUP($A42,'[1]Init $$'!$B$3:$CG$118,8,FALSE)</f>
        <v>0.49453551912568305</v>
      </c>
      <c r="J42">
        <f>VLOOKUP($A42,'[1]Init $$'!$B$3:$CG$118,7,FALSE)</f>
        <v>181</v>
      </c>
      <c r="K42" s="43">
        <f>'Est gen ed 23 $$'!K42/'Est gen ed 23 pos'!K$123</f>
        <v>1</v>
      </c>
      <c r="L42" s="43">
        <f>'Est gen ed 23 $$'!L42/'Est gen ed 23 pos'!L$123</f>
        <v>0</v>
      </c>
      <c r="M42" s="43">
        <f>'Est gen ed 23 $$'!M42/'Est gen ed 23 pos'!M$123</f>
        <v>0</v>
      </c>
      <c r="N42" s="43">
        <f>'Est gen ed 23 $$'!N42/'Est gen ed 23 pos'!N$123</f>
        <v>1</v>
      </c>
      <c r="O42" s="34">
        <f>VLOOKUP($A42,'[1]Init $$'!$B$3:$CG$118,15,FALSE)</f>
        <v>6775.6</v>
      </c>
      <c r="P42" s="43">
        <f>'Est gen ed 23 $$'!P42/'Est gen ed 23 pos'!P$123</f>
        <v>1</v>
      </c>
      <c r="Q42" s="43">
        <f>'Est gen ed 23 $$'!Q42/'Est gen ed 23 pos'!Q$123</f>
        <v>1</v>
      </c>
      <c r="R42" s="43">
        <f>'Est gen ed 23 $$'!R42/'Est gen ed 23 pos'!R$123</f>
        <v>2.0000001953611113</v>
      </c>
      <c r="S42" s="43">
        <f>'Est gen ed 23 $$'!S42/'Est gen ed 23 pos'!S$123</f>
        <v>1</v>
      </c>
      <c r="T42" s="43">
        <f>'Est gen ed 23 $$'!T42/'Est gen ed 23 pos'!T$123</f>
        <v>1.9999999121515879</v>
      </c>
      <c r="U42" s="43">
        <f>'Est gen ed 23 $$'!U42/'Est gen ed 23 pos'!U$123</f>
        <v>0</v>
      </c>
      <c r="V42" s="43">
        <f>'Est gen ed 23 $$'!V42/'Est gen ed 23 pos'!V$123</f>
        <v>2.9999999121515879</v>
      </c>
      <c r="W42" s="43">
        <f>'Est gen ed 23 $$'!W42/'Est gen ed 23 pos'!W$123</f>
        <v>4.9999994893586166</v>
      </c>
      <c r="X42" s="34">
        <f>VLOOKUP($A42,'[1]Init $$'!$B$3:$CG$118,24,FALSE)</f>
        <v>130808.7</v>
      </c>
      <c r="Y42" s="34">
        <f>VLOOKUP($A42,'[1]Init $$'!$B$3:$CG$118,25,FALSE)</f>
        <v>0</v>
      </c>
      <c r="Z42" s="34">
        <f>VLOOKUP($A42,'[1]Init $$'!$B$3:$CG$118,26,FALSE)</f>
        <v>0</v>
      </c>
      <c r="AA42" s="34">
        <f>VLOOKUP($A42,'[1]Init $$'!$B$3:$CG$118,27,FALSE)</f>
        <v>0</v>
      </c>
      <c r="AB42" s="43">
        <f>'Est gen ed 23 $$'!AB42/'Est gen ed 23 pos'!AB$123</f>
        <v>0</v>
      </c>
      <c r="AC42" s="43">
        <f>'Est gen ed 23 $$'!AC42/'Est gen ed 23 pos'!AC$123</f>
        <v>0</v>
      </c>
      <c r="AD42" s="43">
        <f>'Est gen ed 23 $$'!AD42/'Est gen ed 23 pos'!AD$123</f>
        <v>0</v>
      </c>
      <c r="AE42" s="43">
        <f>'Est gen ed 23 $$'!AE42/'Est gen ed 23 pos'!AE$123</f>
        <v>0</v>
      </c>
      <c r="AF42" s="34">
        <f>VLOOKUP($A42,'[1]Init $$'!$B$3:$CG$118,32,FALSE)</f>
        <v>1750089</v>
      </c>
      <c r="AG42" s="34">
        <f>VLOOKUP($A42,'[1]Init $$'!$B$3:$CG$118,33,FALSE)</f>
        <v>118950</v>
      </c>
      <c r="AH42" s="43">
        <f>'Est gen ed 23 $$'!AH42/'Est gen ed 23 pos'!AH$123</f>
        <v>1</v>
      </c>
      <c r="AI42" s="43">
        <f>'Est gen ed 23 $$'!AI42/'Est gen ed 23 pos'!AI$123</f>
        <v>1.9999999121515879</v>
      </c>
      <c r="AJ42" s="43">
        <f>'Est gen ed 23 $$'!AJ42/'Est gen ed 23 pos'!AJ$123</f>
        <v>2.9999999121515879</v>
      </c>
      <c r="AK42" s="43">
        <f>'Est gen ed 23 $$'!AK42/'Est gen ed 23 pos'!AK$123</f>
        <v>2.9999999121515879</v>
      </c>
      <c r="AL42" s="43">
        <f>'Est gen ed 23 $$'!AL42/'Est gen ed 23 pos'!AL$123</f>
        <v>4.9999994893586166</v>
      </c>
      <c r="AM42" s="43">
        <f>'Est gen ed 23 $$'!AM42/'Est gen ed 23 pos'!AM$123</f>
        <v>0</v>
      </c>
      <c r="AN42" s="43">
        <f>'Est gen ed 23 $$'!AN42/'Est gen ed 23 pos'!AN$123</f>
        <v>0</v>
      </c>
      <c r="AO42" s="43">
        <f>'Est gen ed 23 $$'!AO42/'Est gen ed 23 pos'!AO$123</f>
        <v>0</v>
      </c>
      <c r="AP42" s="34">
        <f>VLOOKUP($A42,'[1]Init $$'!$B$3:$CG$118,42,FALSE)</f>
        <v>139768.20000000001</v>
      </c>
      <c r="AQ42" s="34">
        <f>VLOOKUP($A42,'[1]Init $$'!$B$3:$CG$118,43,FALSE)</f>
        <v>0</v>
      </c>
      <c r="AR42" s="43">
        <f>'Est gen ed 23 $$'!AR42/'Est gen ed 23 pos'!AR$123</f>
        <v>8.9999997364547628</v>
      </c>
      <c r="AS42" s="43">
        <f>'Est gen ed 23 $$'!AS42/'Est gen ed 23 pos'!AS$123</f>
        <v>0</v>
      </c>
      <c r="AT42" s="43">
        <f>'Est gen ed 23 $$'!AT42/'Est gen ed 23 pos'!AT$123</f>
        <v>1</v>
      </c>
      <c r="AU42" s="34">
        <f>VLOOKUP($A42,'[1]Init $$'!$B$3:$CG$118,47,FALSE)</f>
        <v>336877.2</v>
      </c>
      <c r="AV42" s="34">
        <f>VLOOKUP($A42,'[1]Init $$'!$B$3:$CG$118,48,FALSE)</f>
        <v>0</v>
      </c>
      <c r="AW42" s="34">
        <f>VLOOKUP($A42,'[1]Init $$'!$B$3:$CG$118,49,FALSE)</f>
        <v>0</v>
      </c>
      <c r="AX42" s="34">
        <f>VLOOKUP($A42,'[1]Init $$'!$B$3:$CG$118,50,FALSE)</f>
        <v>0</v>
      </c>
      <c r="AY42" s="34">
        <f>VLOOKUP($A42,'[1]Init $$'!$B$3:$CG$118,51,FALSE)</f>
        <v>0</v>
      </c>
      <c r="AZ42" s="34">
        <f>VLOOKUP($A42,'[1]Init $$'!$B$3:$CG$118,52,FALSE)</f>
        <v>0</v>
      </c>
      <c r="BA42" s="34">
        <f>VLOOKUP($A42,'[1]Init $$'!$B$3:$CG$118,53,FALSE)</f>
        <v>0</v>
      </c>
      <c r="BB42" s="34">
        <f>VLOOKUP($A42,'[1]Init $$'!$B$3:$CG$118,54,FALSE)</f>
        <v>0</v>
      </c>
      <c r="BC42" s="34">
        <f>VLOOKUP($A42,'[1]Init $$'!$B$3:$CG$118,55,FALSE)</f>
        <v>144603.60999999999</v>
      </c>
      <c r="BD42" s="34">
        <f>VLOOKUP($A42,'[1]Init $$'!$B$3:$CG$118,56,FALSE)</f>
        <v>2329.21</v>
      </c>
      <c r="BE42" s="34">
        <f>VLOOKUP($A42,'[1]Init $$'!$B$3:$CG$118,57,FALSE)</f>
        <v>0</v>
      </c>
      <c r="BF42" s="43">
        <f>'Est gen ed 23 $$'!BF42/'Est gen ed 23 pos'!BF$123</f>
        <v>0</v>
      </c>
      <c r="BG42" s="43">
        <f>'Est gen ed 23 $$'!BG42/'Est gen ed 23 pos'!BG$123</f>
        <v>0</v>
      </c>
      <c r="BH42" s="34">
        <f>VLOOKUP($A42,'[1]Init $$'!$B$3:$CG$118,60,FALSE)</f>
        <v>0</v>
      </c>
      <c r="BI42" s="34">
        <f>VLOOKUP($A42,'[1]Init $$'!$B$3:$CG$118,61,FALSE)</f>
        <v>0</v>
      </c>
      <c r="BJ42" s="34">
        <f>VLOOKUP($A42,'[1]Init $$'!$B$3:$CG$118,62,FALSE)</f>
        <v>0</v>
      </c>
      <c r="BK42" s="43">
        <f>'Est gen ed 23 $$'!BK42/'Est gen ed 23 pos'!BK$123</f>
        <v>0</v>
      </c>
      <c r="BL42" s="34">
        <f>VLOOKUP($A42,'[1]Init $$'!$B$3:$CG$118,64,FALSE)</f>
        <v>0</v>
      </c>
      <c r="BM42" s="43">
        <f>'Est gen ed 23 $$'!BM42/'Est gen ed 23 pos'!BM$123</f>
        <v>1</v>
      </c>
      <c r="BN42" s="34">
        <f>VLOOKUP($A42,'[1]Init $$'!$B$3:$CG$118,66,FALSE)</f>
        <v>3000</v>
      </c>
      <c r="BO42" s="43">
        <f>'Est gen ed 23 $$'!BO42/'Est gen ed 23 pos'!BO$123</f>
        <v>0</v>
      </c>
      <c r="BP42" s="34">
        <f>VLOOKUP($A42,'[1]Init $$'!$B$3:$CG$118,68,FALSE)</f>
        <v>0</v>
      </c>
      <c r="BQ42" s="43">
        <f>'Est gen ed 23 $$'!BQ42/'Est gen ed 23 pos'!BQ$123</f>
        <v>0</v>
      </c>
      <c r="BR42" s="43">
        <f>'Est gen ed 23 $$'!BR42/'Est gen ed 23 pos'!BR$123</f>
        <v>0</v>
      </c>
      <c r="BS42" s="34">
        <f>VLOOKUP($A42,'[1]Init $$'!$B$3:$CG$118,71,FALSE)</f>
        <v>0</v>
      </c>
      <c r="BT42" s="34">
        <f>VLOOKUP($A42,'[1]Init $$'!$B$3:$CG$118,72,FALSE)</f>
        <v>0</v>
      </c>
      <c r="BU42" s="34">
        <f>VLOOKUP($A42,'[1]Init $$'!$B$3:$CG$118,73,FALSE)</f>
        <v>15325</v>
      </c>
      <c r="BV42" s="34">
        <f>VLOOKUP($A42,'[1]Init $$'!$B$3:$CG$118,74,FALSE)</f>
        <v>0</v>
      </c>
      <c r="BW42" s="34">
        <f>VLOOKUP($A42,'[1]Init $$'!$B$3:$CG$118,75,FALSE)</f>
        <v>0</v>
      </c>
      <c r="BX42" s="43">
        <f>'Est gen ed 23 $$'!BX42/'Est gen ed 23 pos'!BX$123</f>
        <v>0</v>
      </c>
      <c r="BY42" s="43">
        <f>'Est gen ed 23 $$'!BY42/'Est gen ed 23 pos'!BY$123</f>
        <v>0</v>
      </c>
      <c r="BZ42" s="43">
        <f>'Est gen ed 23 $$'!BZ42/'Est gen ed 23 pos'!BZ$123</f>
        <v>0</v>
      </c>
      <c r="CA42" s="34">
        <f>VLOOKUP($A42,'[1]Init $$'!$B$3:$CG$118,79,FALSE)</f>
        <v>485533.22</v>
      </c>
      <c r="CB42" s="34">
        <f>VLOOKUP($A42,'[1]Init $$'!$B$3:$CG$118,80,FALSE)</f>
        <v>41333.160000000003</v>
      </c>
      <c r="CC42" s="34">
        <f>VLOOKUP($A42,'[1]Init $$'!$B$3:$CG$118,81,FALSE)</f>
        <v>287627.36</v>
      </c>
      <c r="CD42" s="34">
        <f>VLOOKUP($A42,'[1]Init $$'!$B$3:$CG$118,82,FALSE)</f>
        <v>367699.59</v>
      </c>
      <c r="CE42" s="34">
        <f>VLOOKUP($A42,'[1]Init $$'!$B$3:$CG$118,83,FALSE)</f>
        <v>0</v>
      </c>
      <c r="CF42" s="34">
        <f>VLOOKUP($A42,'[1]Init $$'!$B$3:$CG$118,84,FALSE)</f>
        <v>0</v>
      </c>
      <c r="CJ42" s="28">
        <f t="shared" si="2"/>
        <v>3830761.8499984718</v>
      </c>
      <c r="CK42" s="43">
        <f>'Est gen ed 23 $$'!CK42/'Est gen ed 23 pos'!CK$123</f>
        <v>0.99999604682144683</v>
      </c>
      <c r="CL42" s="43">
        <f>'Est gen ed 23 $$'!CL42/'Est gen ed 23 pos'!CL$123</f>
        <v>0.91499999999999992</v>
      </c>
      <c r="CM42" s="43">
        <f>'Est gen ed 23 $$'!CM42/'Est gen ed 23 pos'!CM$123</f>
        <v>1</v>
      </c>
      <c r="CN42" s="43">
        <f>'Est gen ed 23 $$'!CN42/'Est gen ed 23 pos'!CN$123</f>
        <v>0</v>
      </c>
      <c r="CO42" s="43">
        <f>'Est gen ed 23 $$'!CO42/'Est gen ed 23 pos'!CO$123</f>
        <v>0</v>
      </c>
      <c r="CP42" s="43">
        <f>'Est gen ed 23 $$'!CP42/'Est gen ed 23 pos'!CP$123</f>
        <v>0</v>
      </c>
      <c r="CQ42" s="43">
        <f>'Est gen ed 23 $$'!CQ42/'Est gen ed 23 pos'!CQ$123</f>
        <v>0.99999604682144683</v>
      </c>
      <c r="CR42" s="43">
        <f>'Est gen ed 23 $$'!CR42/'Est gen ed 23 pos'!CR$123</f>
        <v>0.99999604682144683</v>
      </c>
      <c r="CS42" s="43">
        <f>'Est gen ed 23 $$'!CS42/'Est gen ed 23 pos'!CS$123</f>
        <v>1.9999920936428937</v>
      </c>
      <c r="CT42" s="43">
        <f>'Est gen ed 23 $$'!CT42/'Est gen ed 23 pos'!CT$123</f>
        <v>3</v>
      </c>
      <c r="CU42" s="43">
        <f>'Est gen ed 23 $$'!CU42/'Est gen ed 23 pos'!CU$123</f>
        <v>16</v>
      </c>
      <c r="CZ42" s="43">
        <f>'Est gen ed 23 $$'!CW42/'Est gen ed 23 pos'!CZ$123</f>
        <v>0</v>
      </c>
      <c r="DB42" s="28">
        <f t="shared" si="3"/>
        <v>1750089</v>
      </c>
      <c r="DC42" s="28">
        <f t="shared" si="0"/>
        <v>655326.94999999995</v>
      </c>
      <c r="DK42" s="34"/>
      <c r="DL42" s="34"/>
    </row>
    <row r="43" spans="1:116" x14ac:dyDescent="0.2">
      <c r="A43">
        <v>246</v>
      </c>
      <c r="B43" t="s">
        <v>86</v>
      </c>
      <c r="C43" t="s">
        <v>19</v>
      </c>
      <c r="D43">
        <v>2</v>
      </c>
      <c r="E43">
        <f>VLOOKUP($A43,'[1]Init $$'!$B$3:$CG$118,4,FALSE)</f>
        <v>556</v>
      </c>
      <c r="F43">
        <f>VLOOKUP($A43,'[1]Init $$'!$B$3:$CG$118,6,FALSE)</f>
        <v>556</v>
      </c>
      <c r="G43">
        <f>VLOOKUP($A43,'[2]$$xSchpostCouncilxLevel'!$A$4:$EW$120,153,FALSE)</f>
        <v>525</v>
      </c>
      <c r="H43" s="50">
        <f t="shared" si="1"/>
        <v>31</v>
      </c>
      <c r="I43" s="4">
        <f>VLOOKUP($A43,'[1]Init $$'!$B$3:$CG$118,8,FALSE)</f>
        <v>0.13848920863309352</v>
      </c>
      <c r="J43">
        <f>VLOOKUP($A43,'[1]Init $$'!$B$3:$CG$118,7,FALSE)</f>
        <v>77</v>
      </c>
      <c r="K43" s="43">
        <f>'Est gen ed 23 $$'!K43/'Est gen ed 23 pos'!K$123</f>
        <v>1</v>
      </c>
      <c r="L43" s="43">
        <f>'Est gen ed 23 $$'!L43/'Est gen ed 23 pos'!L$123</f>
        <v>1.4999999560757939</v>
      </c>
      <c r="M43" s="43">
        <f>'Est gen ed 23 $$'!M43/'Est gen ed 23 pos'!M$123</f>
        <v>0</v>
      </c>
      <c r="N43" s="43">
        <f>'Est gen ed 23 $$'!N43/'Est gen ed 23 pos'!N$123</f>
        <v>1</v>
      </c>
      <c r="O43" s="34">
        <f>VLOOKUP($A43,'[1]Init $$'!$B$3:$CG$118,15,FALSE)</f>
        <v>7038.2</v>
      </c>
      <c r="P43" s="43">
        <f>'Est gen ed 23 $$'!P43/'Est gen ed 23 pos'!P$123</f>
        <v>1</v>
      </c>
      <c r="Q43" s="43">
        <f>'Est gen ed 23 $$'!Q43/'Est gen ed 23 pos'!Q$123</f>
        <v>1</v>
      </c>
      <c r="R43" s="43">
        <f>'Est gen ed 23 $$'!R43/'Est gen ed 23 pos'!R$123</f>
        <v>3.0000001953611113</v>
      </c>
      <c r="S43" s="43">
        <f>'Est gen ed 23 $$'!S43/'Est gen ed 23 pos'!S$123</f>
        <v>1</v>
      </c>
      <c r="T43" s="43">
        <f>'Est gen ed 23 $$'!T43/'Est gen ed 23 pos'!T$123</f>
        <v>0</v>
      </c>
      <c r="U43" s="43">
        <f>'Est gen ed 23 $$'!U43/'Est gen ed 23 pos'!U$123</f>
        <v>0</v>
      </c>
      <c r="V43" s="43">
        <f>'Est gen ed 23 $$'!V43/'Est gen ed 23 pos'!V$123</f>
        <v>0</v>
      </c>
      <c r="W43" s="43">
        <f>'Est gen ed 23 $$'!W43/'Est gen ed 23 pos'!W$123</f>
        <v>0</v>
      </c>
      <c r="X43" s="34">
        <f>VLOOKUP($A43,'[1]Init $$'!$B$3:$CG$118,24,FALSE)</f>
        <v>0</v>
      </c>
      <c r="Y43" s="34">
        <f>VLOOKUP($A43,'[1]Init $$'!$B$3:$CG$118,25,FALSE)</f>
        <v>0</v>
      </c>
      <c r="Z43" s="34">
        <f>VLOOKUP($A43,'[1]Init $$'!$B$3:$CG$118,26,FALSE)</f>
        <v>0</v>
      </c>
      <c r="AA43" s="34">
        <f>VLOOKUP($A43,'[1]Init $$'!$B$3:$CG$118,27,FALSE)</f>
        <v>0</v>
      </c>
      <c r="AB43" s="43">
        <f>'Est gen ed 23 $$'!AB43/'Est gen ed 23 pos'!AB$123</f>
        <v>0</v>
      </c>
      <c r="AC43" s="43">
        <f>'Est gen ed 23 $$'!AC43/'Est gen ed 23 pos'!AC$123</f>
        <v>0</v>
      </c>
      <c r="AD43" s="43">
        <f>'Est gen ed 23 $$'!AD43/'Est gen ed 23 pos'!AD$123</f>
        <v>0</v>
      </c>
      <c r="AE43" s="43">
        <f>'Est gen ed 23 $$'!AE43/'Est gen ed 23 pos'!AE$123</f>
        <v>0</v>
      </c>
      <c r="AF43" s="34">
        <f>VLOOKUP($A43,'[1]Init $$'!$B$3:$CG$118,32,FALSE)</f>
        <v>3320988</v>
      </c>
      <c r="AG43" s="34">
        <f>VLOOKUP($A43,'[1]Init $$'!$B$3:$CG$118,33,FALSE)</f>
        <v>190152</v>
      </c>
      <c r="AH43" s="43">
        <f>'Est gen ed 23 $$'!AH43/'Est gen ed 23 pos'!AH$123</f>
        <v>1</v>
      </c>
      <c r="AI43" s="43">
        <f>'Est gen ed 23 $$'!AI43/'Est gen ed 23 pos'!AI$123</f>
        <v>1.9999999121515879</v>
      </c>
      <c r="AJ43" s="43">
        <f>'Est gen ed 23 $$'!AJ43/'Est gen ed 23 pos'!AJ$123</f>
        <v>4.9999998243031758</v>
      </c>
      <c r="AK43" s="43">
        <f>'Est gen ed 23 $$'!AK43/'Est gen ed 23 pos'!AK$123</f>
        <v>4.9999998243031758</v>
      </c>
      <c r="AL43" s="43">
        <f>'Est gen ed 23 $$'!AL43/'Est gen ed 23 pos'!AL$123</f>
        <v>6.9999994893586166</v>
      </c>
      <c r="AM43" s="43">
        <f>'Est gen ed 23 $$'!AM43/'Est gen ed 23 pos'!AM$123</f>
        <v>0</v>
      </c>
      <c r="AN43" s="43">
        <f>'Est gen ed 23 $$'!AN43/'Est gen ed 23 pos'!AN$123</f>
        <v>0</v>
      </c>
      <c r="AO43" s="43">
        <f>'Est gen ed 23 $$'!AO43/'Est gen ed 23 pos'!AO$123</f>
        <v>0</v>
      </c>
      <c r="AP43" s="34">
        <f>VLOOKUP($A43,'[1]Init $$'!$B$3:$CG$118,42,FALSE)</f>
        <v>107514</v>
      </c>
      <c r="AQ43" s="34">
        <f>VLOOKUP($A43,'[1]Init $$'!$B$3:$CG$118,43,FALSE)</f>
        <v>0</v>
      </c>
      <c r="AR43" s="43">
        <f>'Est gen ed 23 $$'!AR43/'Est gen ed 23 pos'!AR$123</f>
        <v>1.9999999121515879</v>
      </c>
      <c r="AS43" s="43">
        <f>'Est gen ed 23 $$'!AS43/'Est gen ed 23 pos'!AS$123</f>
        <v>0</v>
      </c>
      <c r="AT43" s="43">
        <f>'Est gen ed 23 $$'!AT43/'Est gen ed 23 pos'!AT$123</f>
        <v>0</v>
      </c>
      <c r="AU43" s="34">
        <f>VLOOKUP($A43,'[1]Init $$'!$B$3:$CG$118,47,FALSE)</f>
        <v>60924.6</v>
      </c>
      <c r="AV43" s="34">
        <f>VLOOKUP($A43,'[1]Init $$'!$B$3:$CG$118,48,FALSE)</f>
        <v>0</v>
      </c>
      <c r="AW43" s="34">
        <f>VLOOKUP($A43,'[1]Init $$'!$B$3:$CG$118,49,FALSE)</f>
        <v>0</v>
      </c>
      <c r="AX43" s="34">
        <f>VLOOKUP($A43,'[1]Init $$'!$B$3:$CG$118,50,FALSE)</f>
        <v>0</v>
      </c>
      <c r="AY43" s="34">
        <f>VLOOKUP($A43,'[1]Init $$'!$B$3:$CG$118,51,FALSE)</f>
        <v>0</v>
      </c>
      <c r="AZ43" s="34">
        <f>VLOOKUP($A43,'[1]Init $$'!$B$3:$CG$118,52,FALSE)</f>
        <v>0</v>
      </c>
      <c r="BA43" s="34">
        <f>VLOOKUP($A43,'[1]Init $$'!$B$3:$CG$118,53,FALSE)</f>
        <v>0</v>
      </c>
      <c r="BB43" s="34">
        <f>VLOOKUP($A43,'[1]Init $$'!$B$3:$CG$118,54,FALSE)</f>
        <v>0</v>
      </c>
      <c r="BC43" s="34">
        <f>VLOOKUP($A43,'[1]Init $$'!$B$3:$CG$118,55,FALSE)</f>
        <v>0</v>
      </c>
      <c r="BD43" s="34">
        <f>VLOOKUP($A43,'[1]Init $$'!$B$3:$CG$118,56,FALSE)</f>
        <v>0</v>
      </c>
      <c r="BE43" s="34">
        <f>VLOOKUP($A43,'[1]Init $$'!$B$3:$CG$118,57,FALSE)</f>
        <v>13900</v>
      </c>
      <c r="BF43" s="43">
        <f>'Est gen ed 23 $$'!BF43/'Est gen ed 23 pos'!BF$123</f>
        <v>0</v>
      </c>
      <c r="BG43" s="43">
        <f>'Est gen ed 23 $$'!BG43/'Est gen ed 23 pos'!BG$123</f>
        <v>0</v>
      </c>
      <c r="BH43" s="34">
        <f>VLOOKUP($A43,'[1]Init $$'!$B$3:$CG$118,60,FALSE)</f>
        <v>0</v>
      </c>
      <c r="BI43" s="34">
        <f>VLOOKUP($A43,'[1]Init $$'!$B$3:$CG$118,61,FALSE)</f>
        <v>0</v>
      </c>
      <c r="BJ43" s="34">
        <f>VLOOKUP($A43,'[1]Init $$'!$B$3:$CG$118,62,FALSE)</f>
        <v>0</v>
      </c>
      <c r="BK43" s="43">
        <f>'Est gen ed 23 $$'!BK43/'Est gen ed 23 pos'!BK$123</f>
        <v>0</v>
      </c>
      <c r="BL43" s="34">
        <f>VLOOKUP($A43,'[1]Init $$'!$B$3:$CG$118,64,FALSE)</f>
        <v>0</v>
      </c>
      <c r="BM43" s="43">
        <f>'Est gen ed 23 $$'!BM43/'Est gen ed 23 pos'!BM$123</f>
        <v>0</v>
      </c>
      <c r="BN43" s="34">
        <f>VLOOKUP($A43,'[1]Init $$'!$B$3:$CG$118,66,FALSE)</f>
        <v>0</v>
      </c>
      <c r="BO43" s="43">
        <f>'Est gen ed 23 $$'!BO43/'Est gen ed 23 pos'!BO$123</f>
        <v>0</v>
      </c>
      <c r="BP43" s="34">
        <f>VLOOKUP($A43,'[1]Init $$'!$B$3:$CG$118,68,FALSE)</f>
        <v>0</v>
      </c>
      <c r="BQ43" s="43">
        <f>'Est gen ed 23 $$'!BQ43/'Est gen ed 23 pos'!BQ$123</f>
        <v>0</v>
      </c>
      <c r="BR43" s="43">
        <f>'Est gen ed 23 $$'!BR43/'Est gen ed 23 pos'!BR$123</f>
        <v>0</v>
      </c>
      <c r="BS43" s="34">
        <f>VLOOKUP($A43,'[1]Init $$'!$B$3:$CG$118,71,FALSE)</f>
        <v>0</v>
      </c>
      <c r="BT43" s="34">
        <f>VLOOKUP($A43,'[1]Init $$'!$B$3:$CG$118,72,FALSE)</f>
        <v>0</v>
      </c>
      <c r="BU43" s="34">
        <f>VLOOKUP($A43,'[1]Init $$'!$B$3:$CG$118,73,FALSE)</f>
        <v>0</v>
      </c>
      <c r="BV43" s="34">
        <f>VLOOKUP($A43,'[1]Init $$'!$B$3:$CG$118,74,FALSE)</f>
        <v>0</v>
      </c>
      <c r="BW43" s="34">
        <f>VLOOKUP($A43,'[1]Init $$'!$B$3:$CG$118,75,FALSE)</f>
        <v>55921</v>
      </c>
      <c r="BX43" s="43">
        <f>'Est gen ed 23 $$'!BX43/'Est gen ed 23 pos'!BX$123</f>
        <v>0</v>
      </c>
      <c r="BY43" s="43">
        <f>'Est gen ed 23 $$'!BY43/'Est gen ed 23 pos'!BY$123</f>
        <v>0</v>
      </c>
      <c r="BZ43" s="43">
        <f>'Est gen ed 23 $$'!BZ43/'Est gen ed 23 pos'!BZ$123</f>
        <v>0</v>
      </c>
      <c r="CA43" s="34">
        <f>VLOOKUP($A43,'[1]Init $$'!$B$3:$CG$118,79,FALSE)</f>
        <v>206552.81</v>
      </c>
      <c r="CB43" s="34">
        <f>VLOOKUP($A43,'[1]Init $$'!$B$3:$CG$118,80,FALSE)</f>
        <v>0</v>
      </c>
      <c r="CC43" s="34">
        <f>VLOOKUP($A43,'[1]Init $$'!$B$3:$CG$118,81,FALSE)</f>
        <v>0</v>
      </c>
      <c r="CD43" s="34">
        <f>VLOOKUP($A43,'[1]Init $$'!$B$3:$CG$118,82,FALSE)</f>
        <v>0</v>
      </c>
      <c r="CE43" s="34">
        <f>VLOOKUP($A43,'[1]Init $$'!$B$3:$CG$118,83,FALSE)</f>
        <v>0</v>
      </c>
      <c r="CF43" s="34">
        <f>VLOOKUP($A43,'[1]Init $$'!$B$3:$CG$118,84,FALSE)</f>
        <v>0</v>
      </c>
      <c r="CJ43" s="28">
        <f t="shared" si="2"/>
        <v>3963022.1099991137</v>
      </c>
      <c r="CK43" s="43">
        <f>'Est gen ed 23 $$'!CK43/'Est gen ed 23 pos'!CK$123</f>
        <v>0.99999604682144683</v>
      </c>
      <c r="CL43" s="43">
        <f>'Est gen ed 23 $$'!CL43/'Est gen ed 23 pos'!CL$123</f>
        <v>1.8533333333333333</v>
      </c>
      <c r="CM43" s="43">
        <f>'Est gen ed 23 $$'!CM43/'Est gen ed 23 pos'!CM$123</f>
        <v>1</v>
      </c>
      <c r="CN43" s="43">
        <f>'Est gen ed 23 $$'!CN43/'Est gen ed 23 pos'!CN$123</f>
        <v>0.71942446043165464</v>
      </c>
      <c r="CO43" s="43">
        <f>'Est gen ed 23 $$'!CO43/'Est gen ed 23 pos'!CO$123</f>
        <v>0</v>
      </c>
      <c r="CP43" s="43">
        <f>'Est gen ed 23 $$'!CP43/'Est gen ed 23 pos'!CP$123</f>
        <v>0</v>
      </c>
      <c r="CQ43" s="43">
        <f>'Est gen ed 23 $$'!CQ43/'Est gen ed 23 pos'!CQ$123</f>
        <v>0</v>
      </c>
      <c r="CR43" s="43">
        <f>'Est gen ed 23 $$'!CR43/'Est gen ed 23 pos'!CR$123</f>
        <v>0</v>
      </c>
      <c r="CS43" s="43">
        <f>'Est gen ed 23 $$'!CS43/'Est gen ed 23 pos'!CS$123</f>
        <v>0</v>
      </c>
      <c r="CT43" s="43">
        <f>'Est gen ed 23 $$'!CT43/'Est gen ed 23 pos'!CT$123</f>
        <v>0</v>
      </c>
      <c r="CU43" s="43">
        <f>'Est gen ed 23 $$'!CU43/'Est gen ed 23 pos'!CU$123</f>
        <v>30</v>
      </c>
      <c r="CZ43" s="43">
        <f>'Est gen ed 23 $$'!CW43/'Est gen ed 23 pos'!CZ$123</f>
        <v>0</v>
      </c>
      <c r="DB43" s="28">
        <f t="shared" si="3"/>
        <v>3320988</v>
      </c>
      <c r="DC43" s="28">
        <f t="shared" si="0"/>
        <v>0</v>
      </c>
      <c r="DK43" s="34"/>
      <c r="DL43" s="34"/>
    </row>
    <row r="44" spans="1:116" x14ac:dyDescent="0.2">
      <c r="A44">
        <v>413</v>
      </c>
      <c r="B44" t="s">
        <v>85</v>
      </c>
      <c r="C44" t="s">
        <v>19</v>
      </c>
      <c r="D44">
        <v>8</v>
      </c>
      <c r="E44">
        <f>VLOOKUP($A44,'[1]Init $$'!$B$3:$CG$118,4,FALSE)</f>
        <v>431</v>
      </c>
      <c r="F44">
        <f>VLOOKUP($A44,'[1]Init $$'!$B$3:$CG$118,6,FALSE)</f>
        <v>431</v>
      </c>
      <c r="G44">
        <f>VLOOKUP($A44,'[2]$$xSchpostCouncilxLevel'!$A$4:$EW$120,153,FALSE)</f>
        <v>475</v>
      </c>
      <c r="H44" s="50">
        <f t="shared" si="1"/>
        <v>-44</v>
      </c>
      <c r="I44" s="4">
        <f>VLOOKUP($A44,'[1]Init $$'!$B$3:$CG$118,8,FALSE)</f>
        <v>0.79118329466357307</v>
      </c>
      <c r="J44">
        <f>VLOOKUP($A44,'[1]Init $$'!$B$3:$CG$118,7,FALSE)</f>
        <v>341</v>
      </c>
      <c r="K44" s="43">
        <f>'Est gen ed 23 $$'!K44/'Est gen ed 23 pos'!K$123</f>
        <v>1</v>
      </c>
      <c r="L44" s="43">
        <f>'Est gen ed 23 $$'!L44/'Est gen ed 23 pos'!L$123</f>
        <v>1.4999999560757939</v>
      </c>
      <c r="M44" s="43">
        <f>'Est gen ed 23 $$'!M44/'Est gen ed 23 pos'!M$123</f>
        <v>0</v>
      </c>
      <c r="N44" s="43">
        <f>'Est gen ed 23 $$'!N44/'Est gen ed 23 pos'!N$123</f>
        <v>1</v>
      </c>
      <c r="O44" s="34">
        <f>VLOOKUP($A44,'[1]Init $$'!$B$3:$CG$118,15,FALSE)</f>
        <v>12199.05</v>
      </c>
      <c r="P44" s="43">
        <f>'Est gen ed 23 $$'!P44/'Est gen ed 23 pos'!P$123</f>
        <v>1</v>
      </c>
      <c r="Q44" s="43">
        <f>'Est gen ed 23 $$'!Q44/'Est gen ed 23 pos'!Q$123</f>
        <v>1</v>
      </c>
      <c r="R44" s="43">
        <f>'Est gen ed 23 $$'!R44/'Est gen ed 23 pos'!R$123</f>
        <v>4.0000003907222226</v>
      </c>
      <c r="S44" s="43">
        <f>'Est gen ed 23 $$'!S44/'Est gen ed 23 pos'!S$123</f>
        <v>1</v>
      </c>
      <c r="T44" s="43">
        <f>'Est gen ed 23 $$'!T44/'Est gen ed 23 pos'!T$123</f>
        <v>0</v>
      </c>
      <c r="U44" s="43">
        <f>'Est gen ed 23 $$'!U44/'Est gen ed 23 pos'!U$123</f>
        <v>0</v>
      </c>
      <c r="V44" s="43">
        <f>'Est gen ed 23 $$'!V44/'Est gen ed 23 pos'!V$123</f>
        <v>0</v>
      </c>
      <c r="W44" s="43">
        <f>'Est gen ed 23 $$'!W44/'Est gen ed 23 pos'!W$123</f>
        <v>0</v>
      </c>
      <c r="X44" s="34">
        <f>VLOOKUP($A44,'[1]Init $$'!$B$3:$CG$118,24,FALSE)</f>
        <v>0</v>
      </c>
      <c r="Y44" s="34">
        <f>VLOOKUP($A44,'[1]Init $$'!$B$3:$CG$118,25,FALSE)</f>
        <v>0</v>
      </c>
      <c r="Z44" s="34">
        <f>VLOOKUP($A44,'[1]Init $$'!$B$3:$CG$118,26,FALSE)</f>
        <v>0</v>
      </c>
      <c r="AA44" s="34">
        <f>VLOOKUP($A44,'[1]Init $$'!$B$3:$CG$118,27,FALSE)</f>
        <v>0</v>
      </c>
      <c r="AB44" s="43">
        <f>'Est gen ed 23 $$'!AB44/'Est gen ed 23 pos'!AB$123</f>
        <v>0</v>
      </c>
      <c r="AC44" s="43">
        <f>'Est gen ed 23 $$'!AC44/'Est gen ed 23 pos'!AC$123</f>
        <v>0</v>
      </c>
      <c r="AD44" s="43">
        <f>'Est gen ed 23 $$'!AD44/'Est gen ed 23 pos'!AD$123</f>
        <v>0</v>
      </c>
      <c r="AE44" s="43">
        <f>'Est gen ed 23 $$'!AE44/'Est gen ed 23 pos'!AE$123</f>
        <v>0</v>
      </c>
      <c r="AF44" s="34">
        <f>VLOOKUP($A44,'[1]Init $$'!$B$3:$CG$118,32,FALSE)</f>
        <v>2574363</v>
      </c>
      <c r="AG44" s="34">
        <f>VLOOKUP($A44,'[1]Init $$'!$B$3:$CG$118,33,FALSE)</f>
        <v>147402</v>
      </c>
      <c r="AH44" s="43">
        <f>'Est gen ed 23 $$'!AH44/'Est gen ed 23 pos'!AH$123</f>
        <v>1</v>
      </c>
      <c r="AI44" s="43">
        <f>'Est gen ed 23 $$'!AI44/'Est gen ed 23 pos'!AI$123</f>
        <v>3.9999998243031758</v>
      </c>
      <c r="AJ44" s="43">
        <f>'Est gen ed 23 $$'!AJ44/'Est gen ed 23 pos'!AJ$123</f>
        <v>4.9999998243031758</v>
      </c>
      <c r="AK44" s="43">
        <f>'Est gen ed 23 $$'!AK44/'Est gen ed 23 pos'!AK$123</f>
        <v>3.9999998243031758</v>
      </c>
      <c r="AL44" s="43">
        <f>'Est gen ed 23 $$'!AL44/'Est gen ed 23 pos'!AL$123</f>
        <v>3.9999997446793079</v>
      </c>
      <c r="AM44" s="43">
        <f>'Est gen ed 23 $$'!AM44/'Est gen ed 23 pos'!AM$123</f>
        <v>0</v>
      </c>
      <c r="AN44" s="43">
        <f>'Est gen ed 23 $$'!AN44/'Est gen ed 23 pos'!AN$123</f>
        <v>2.0000019111157443</v>
      </c>
      <c r="AO44" s="43">
        <f>'Est gen ed 23 $$'!AO44/'Est gen ed 23 pos'!AO$123</f>
        <v>0</v>
      </c>
      <c r="AP44" s="34">
        <f>VLOOKUP($A44,'[1]Init $$'!$B$3:$CG$118,42,FALSE)</f>
        <v>130808.7</v>
      </c>
      <c r="AQ44" s="34">
        <f>VLOOKUP($A44,'[1]Init $$'!$B$3:$CG$118,43,FALSE)</f>
        <v>0</v>
      </c>
      <c r="AR44" s="43">
        <f>'Est gen ed 23 $$'!AR44/'Est gen ed 23 pos'!AR$123</f>
        <v>0</v>
      </c>
      <c r="AS44" s="43">
        <f>'Est gen ed 23 $$'!AS44/'Est gen ed 23 pos'!AS$123</f>
        <v>0.26999998682273813</v>
      </c>
      <c r="AT44" s="43">
        <f>'Est gen ed 23 $$'!AT44/'Est gen ed 23 pos'!AT$123</f>
        <v>0</v>
      </c>
      <c r="AU44" s="34">
        <f>VLOOKUP($A44,'[1]Init $$'!$B$3:$CG$118,47,FALSE)</f>
        <v>10751.4</v>
      </c>
      <c r="AV44" s="34">
        <f>VLOOKUP($A44,'[1]Init $$'!$B$3:$CG$118,48,FALSE)</f>
        <v>13600</v>
      </c>
      <c r="AW44" s="34">
        <f>VLOOKUP($A44,'[1]Init $$'!$B$3:$CG$118,49,FALSE)</f>
        <v>13600</v>
      </c>
      <c r="AX44" s="34">
        <f>VLOOKUP($A44,'[1]Init $$'!$B$3:$CG$118,50,FALSE)</f>
        <v>10200</v>
      </c>
      <c r="AY44" s="34">
        <f>VLOOKUP($A44,'[1]Init $$'!$B$3:$CG$118,51,FALSE)</f>
        <v>0</v>
      </c>
      <c r="AZ44" s="34">
        <f>VLOOKUP($A44,'[1]Init $$'!$B$3:$CG$118,52,FALSE)</f>
        <v>6800</v>
      </c>
      <c r="BA44" s="34">
        <f>VLOOKUP($A44,'[1]Init $$'!$B$3:$CG$118,53,FALSE)</f>
        <v>0</v>
      </c>
      <c r="BB44" s="34">
        <f>VLOOKUP($A44,'[1]Init $$'!$B$3:$CG$118,54,FALSE)</f>
        <v>6800</v>
      </c>
      <c r="BC44" s="34">
        <f>VLOOKUP($A44,'[1]Init $$'!$B$3:$CG$118,55,FALSE)</f>
        <v>233249.09</v>
      </c>
      <c r="BD44" s="34">
        <f>VLOOKUP($A44,'[1]Init $$'!$B$3:$CG$118,56,FALSE)</f>
        <v>3757.07</v>
      </c>
      <c r="BE44" s="34">
        <f>VLOOKUP($A44,'[1]Init $$'!$B$3:$CG$118,57,FALSE)</f>
        <v>0</v>
      </c>
      <c r="BF44" s="43">
        <f>'Est gen ed 23 $$'!BF44/'Est gen ed 23 pos'!BF$123</f>
        <v>0</v>
      </c>
      <c r="BG44" s="43">
        <f>'Est gen ed 23 $$'!BG44/'Est gen ed 23 pos'!BG$123</f>
        <v>0</v>
      </c>
      <c r="BH44" s="34">
        <f>VLOOKUP($A44,'[1]Init $$'!$B$3:$CG$118,60,FALSE)</f>
        <v>0</v>
      </c>
      <c r="BI44" s="34">
        <f>VLOOKUP($A44,'[1]Init $$'!$B$3:$CG$118,61,FALSE)</f>
        <v>0</v>
      </c>
      <c r="BJ44" s="34">
        <f>VLOOKUP($A44,'[1]Init $$'!$B$3:$CG$118,62,FALSE)</f>
        <v>0</v>
      </c>
      <c r="BK44" s="43">
        <f>'Est gen ed 23 $$'!BK44/'Est gen ed 23 pos'!BK$123</f>
        <v>0</v>
      </c>
      <c r="BL44" s="34">
        <f>VLOOKUP($A44,'[1]Init $$'!$B$3:$CG$118,64,FALSE)</f>
        <v>0</v>
      </c>
      <c r="BM44" s="43">
        <f>'Est gen ed 23 $$'!BM44/'Est gen ed 23 pos'!BM$123</f>
        <v>0</v>
      </c>
      <c r="BN44" s="34">
        <f>VLOOKUP($A44,'[1]Init $$'!$B$3:$CG$118,66,FALSE)</f>
        <v>0</v>
      </c>
      <c r="BO44" s="43">
        <f>'Est gen ed 23 $$'!BO44/'Est gen ed 23 pos'!BO$123</f>
        <v>0</v>
      </c>
      <c r="BP44" s="34">
        <f>VLOOKUP($A44,'[1]Init $$'!$B$3:$CG$118,68,FALSE)</f>
        <v>0</v>
      </c>
      <c r="BQ44" s="43">
        <f>'Est gen ed 23 $$'!BQ44/'Est gen ed 23 pos'!BQ$123</f>
        <v>0</v>
      </c>
      <c r="BR44" s="43">
        <f>'Est gen ed 23 $$'!BR44/'Est gen ed 23 pos'!BR$123</f>
        <v>0</v>
      </c>
      <c r="BS44" s="34">
        <f>VLOOKUP($A44,'[1]Init $$'!$B$3:$CG$118,71,FALSE)</f>
        <v>0</v>
      </c>
      <c r="BT44" s="34">
        <f>VLOOKUP($A44,'[1]Init $$'!$B$3:$CG$118,72,FALSE)</f>
        <v>0</v>
      </c>
      <c r="BU44" s="34">
        <f>VLOOKUP($A44,'[1]Init $$'!$B$3:$CG$118,73,FALSE)</f>
        <v>0</v>
      </c>
      <c r="BV44" s="34">
        <f>VLOOKUP($A44,'[1]Init $$'!$B$3:$CG$118,74,FALSE)</f>
        <v>0</v>
      </c>
      <c r="BW44" s="34">
        <f>VLOOKUP($A44,'[1]Init $$'!$B$3:$CG$118,75,FALSE)</f>
        <v>179117</v>
      </c>
      <c r="BX44" s="43">
        <f>'Est gen ed 23 $$'!BX44/'Est gen ed 23 pos'!BX$123</f>
        <v>0</v>
      </c>
      <c r="BY44" s="43">
        <f>'Est gen ed 23 $$'!BY44/'Est gen ed 23 pos'!BY$123</f>
        <v>0</v>
      </c>
      <c r="BZ44" s="43">
        <f>'Est gen ed 23 $$'!BZ44/'Est gen ed 23 pos'!BZ$123</f>
        <v>0</v>
      </c>
      <c r="CA44" s="34">
        <f>VLOOKUP($A44,'[1]Init $$'!$B$3:$CG$118,79,FALSE)</f>
        <v>914733.86</v>
      </c>
      <c r="CB44" s="34">
        <f>VLOOKUP($A44,'[1]Init $$'!$B$3:$CG$118,80,FALSE)</f>
        <v>248357.34</v>
      </c>
      <c r="CC44" s="34">
        <f>VLOOKUP($A44,'[1]Init $$'!$B$3:$CG$118,81,FALSE)</f>
        <v>0</v>
      </c>
      <c r="CD44" s="34">
        <f>VLOOKUP($A44,'[1]Init $$'!$B$3:$CG$118,82,FALSE)</f>
        <v>0</v>
      </c>
      <c r="CE44" s="34">
        <f>VLOOKUP($A44,'[1]Init $$'!$B$3:$CG$118,83,FALSE)</f>
        <v>0</v>
      </c>
      <c r="CF44" s="34">
        <f>VLOOKUP($A44,'[1]Init $$'!$B$3:$CG$118,84,FALSE)</f>
        <v>0</v>
      </c>
      <c r="CJ44" s="28">
        <f t="shared" si="2"/>
        <v>4505769.2800014624</v>
      </c>
      <c r="CK44" s="43">
        <f>'Est gen ed 23 $$'!CK44/'Est gen ed 23 pos'!CK$123</f>
        <v>0.99999604682144683</v>
      </c>
      <c r="CL44" s="43">
        <f>'Est gen ed 23 $$'!CL44/'Est gen ed 23 pos'!CL$123</f>
        <v>1.4366666666666668</v>
      </c>
      <c r="CM44" s="43">
        <f>'Est gen ed 23 $$'!CM44/'Est gen ed 23 pos'!CM$123</f>
        <v>1</v>
      </c>
      <c r="CN44" s="43">
        <f>'Est gen ed 23 $$'!CN44/'Est gen ed 23 pos'!CN$123</f>
        <v>0.92807424593967514</v>
      </c>
      <c r="CO44" s="43">
        <f>'Est gen ed 23 $$'!CO44/'Est gen ed 23 pos'!CO$123</f>
        <v>0</v>
      </c>
      <c r="CP44" s="43">
        <f>'Est gen ed 23 $$'!CP44/'Est gen ed 23 pos'!CP$123</f>
        <v>0</v>
      </c>
      <c r="CQ44" s="43">
        <f>'Est gen ed 23 $$'!CQ44/'Est gen ed 23 pos'!CQ$123</f>
        <v>0</v>
      </c>
      <c r="CR44" s="43">
        <f>'Est gen ed 23 $$'!CR44/'Est gen ed 23 pos'!CR$123</f>
        <v>0</v>
      </c>
      <c r="CS44" s="43">
        <f>'Est gen ed 23 $$'!CS44/'Est gen ed 23 pos'!CS$123</f>
        <v>0</v>
      </c>
      <c r="CT44" s="43">
        <f>'Est gen ed 23 $$'!CT44/'Est gen ed 23 pos'!CT$123</f>
        <v>0</v>
      </c>
      <c r="CU44" s="43">
        <f>'Est gen ed 23 $$'!CU44/'Est gen ed 23 pos'!CU$123</f>
        <v>23</v>
      </c>
      <c r="CZ44" s="43">
        <f>'Est gen ed 23 $$'!CW44/'Est gen ed 23 pos'!CZ$123</f>
        <v>0</v>
      </c>
      <c r="DB44" s="28">
        <f t="shared" si="3"/>
        <v>2574363</v>
      </c>
      <c r="DC44" s="28">
        <f t="shared" si="0"/>
        <v>0</v>
      </c>
      <c r="DK44" s="34"/>
      <c r="DL44" s="34"/>
    </row>
    <row r="45" spans="1:116" x14ac:dyDescent="0.2">
      <c r="A45">
        <v>258</v>
      </c>
      <c r="B45" t="s">
        <v>84</v>
      </c>
      <c r="C45" t="s">
        <v>7</v>
      </c>
      <c r="D45">
        <v>3</v>
      </c>
      <c r="E45">
        <f>VLOOKUP($A45,'[1]Init $$'!$B$3:$CG$118,4,FALSE)</f>
        <v>354</v>
      </c>
      <c r="F45">
        <f>VLOOKUP($A45,'[1]Init $$'!$B$3:$CG$118,6,FALSE)</f>
        <v>313</v>
      </c>
      <c r="G45">
        <f>VLOOKUP($A45,'[2]$$xSchpostCouncilxLevel'!$A$4:$EW$120,153,FALSE)</f>
        <v>310</v>
      </c>
      <c r="H45" s="50">
        <f t="shared" si="1"/>
        <v>3</v>
      </c>
      <c r="I45" s="4">
        <f>VLOOKUP($A45,'[1]Init $$'!$B$3:$CG$118,8,FALSE)</f>
        <v>8.4745762711864403E-2</v>
      </c>
      <c r="J45">
        <f>VLOOKUP($A45,'[1]Init $$'!$B$3:$CG$118,7,FALSE)</f>
        <v>30</v>
      </c>
      <c r="K45" s="43">
        <f>'Est gen ed 23 $$'!K45/'Est gen ed 23 pos'!K$123</f>
        <v>1</v>
      </c>
      <c r="L45" s="43">
        <f>'Est gen ed 23 $$'!L45/'Est gen ed 23 pos'!L$123</f>
        <v>0</v>
      </c>
      <c r="M45" s="43">
        <f>'Est gen ed 23 $$'!M45/'Est gen ed 23 pos'!M$123</f>
        <v>0</v>
      </c>
      <c r="N45" s="43">
        <f>'Est gen ed 23 $$'!N45/'Est gen ed 23 pos'!N$123</f>
        <v>1</v>
      </c>
      <c r="O45" s="34">
        <f>VLOOKUP($A45,'[1]Init $$'!$B$3:$CG$118,15,FALSE)</f>
        <v>5460.2</v>
      </c>
      <c r="P45" s="43">
        <f>'Est gen ed 23 $$'!P45/'Est gen ed 23 pos'!P$123</f>
        <v>1</v>
      </c>
      <c r="Q45" s="43">
        <f>'Est gen ed 23 $$'!Q45/'Est gen ed 23 pos'!Q$123</f>
        <v>1</v>
      </c>
      <c r="R45" s="43">
        <f>'Est gen ed 23 $$'!R45/'Est gen ed 23 pos'!R$123</f>
        <v>2.0000001953611113</v>
      </c>
      <c r="S45" s="43">
        <f>'Est gen ed 23 $$'!S45/'Est gen ed 23 pos'!S$123</f>
        <v>1</v>
      </c>
      <c r="T45" s="43">
        <f>'Est gen ed 23 $$'!T45/'Est gen ed 23 pos'!T$123</f>
        <v>0</v>
      </c>
      <c r="U45" s="43">
        <f>'Est gen ed 23 $$'!U45/'Est gen ed 23 pos'!U$123</f>
        <v>0</v>
      </c>
      <c r="V45" s="43">
        <f>'Est gen ed 23 $$'!V45/'Est gen ed 23 pos'!V$123</f>
        <v>1.9999999121515879</v>
      </c>
      <c r="W45" s="43">
        <f>'Est gen ed 23 $$'!W45/'Est gen ed 23 pos'!W$123</f>
        <v>1.9999997446793083</v>
      </c>
      <c r="X45" s="34">
        <f>VLOOKUP($A45,'[1]Init $$'!$B$3:$CG$118,24,FALSE)</f>
        <v>73467.899999999994</v>
      </c>
      <c r="Y45" s="34">
        <f>VLOOKUP($A45,'[1]Init $$'!$B$3:$CG$118,25,FALSE)</f>
        <v>0</v>
      </c>
      <c r="Z45" s="34">
        <f>VLOOKUP($A45,'[1]Init $$'!$B$3:$CG$118,26,FALSE)</f>
        <v>0</v>
      </c>
      <c r="AA45" s="34">
        <f>VLOOKUP($A45,'[1]Init $$'!$B$3:$CG$118,27,FALSE)</f>
        <v>0</v>
      </c>
      <c r="AB45" s="43">
        <f>'Est gen ed 23 $$'!AB45/'Est gen ed 23 pos'!AB$123</f>
        <v>0</v>
      </c>
      <c r="AC45" s="43">
        <f>'Est gen ed 23 $$'!AC45/'Est gen ed 23 pos'!AC$123</f>
        <v>0</v>
      </c>
      <c r="AD45" s="43">
        <f>'Est gen ed 23 $$'!AD45/'Est gen ed 23 pos'!AD$123</f>
        <v>0</v>
      </c>
      <c r="AE45" s="43">
        <f>'Est gen ed 23 $$'!AE45/'Est gen ed 23 pos'!AE$123</f>
        <v>0</v>
      </c>
      <c r="AF45" s="34">
        <f>VLOOKUP($A45,'[1]Init $$'!$B$3:$CG$118,32,FALSE)</f>
        <v>1869549</v>
      </c>
      <c r="AG45" s="34">
        <f>VLOOKUP($A45,'[1]Init $$'!$B$3:$CG$118,33,FALSE)</f>
        <v>115050</v>
      </c>
      <c r="AH45" s="43">
        <f>'Est gen ed 23 $$'!AH45/'Est gen ed 23 pos'!AH$123</f>
        <v>1</v>
      </c>
      <c r="AI45" s="43">
        <f>'Est gen ed 23 $$'!AI45/'Est gen ed 23 pos'!AI$123</f>
        <v>1</v>
      </c>
      <c r="AJ45" s="43">
        <f>'Est gen ed 23 $$'!AJ45/'Est gen ed 23 pos'!AJ$123</f>
        <v>2.9999999121515879</v>
      </c>
      <c r="AK45" s="43">
        <f>'Est gen ed 23 $$'!AK45/'Est gen ed 23 pos'!AK$123</f>
        <v>2.9999999121515879</v>
      </c>
      <c r="AL45" s="43">
        <f>'Est gen ed 23 $$'!AL45/'Est gen ed 23 pos'!AL$123</f>
        <v>5.9999994893586166</v>
      </c>
      <c r="AM45" s="43">
        <f>'Est gen ed 23 $$'!AM45/'Est gen ed 23 pos'!AM$123</f>
        <v>0</v>
      </c>
      <c r="AN45" s="43">
        <f>'Est gen ed 23 $$'!AN45/'Est gen ed 23 pos'!AN$123</f>
        <v>0</v>
      </c>
      <c r="AO45" s="43">
        <f>'Est gen ed 23 $$'!AO45/'Est gen ed 23 pos'!AO$123</f>
        <v>0</v>
      </c>
      <c r="AP45" s="34">
        <f>VLOOKUP($A45,'[1]Init $$'!$B$3:$CG$118,42,FALSE)</f>
        <v>80635.5</v>
      </c>
      <c r="AQ45" s="34">
        <f>VLOOKUP($A45,'[1]Init $$'!$B$3:$CG$118,43,FALSE)</f>
        <v>0</v>
      </c>
      <c r="AR45" s="43">
        <f>'Est gen ed 23 $$'!AR45/'Est gen ed 23 pos'!AR$123</f>
        <v>3.4999998682273818</v>
      </c>
      <c r="AS45" s="43">
        <f>'Est gen ed 23 $$'!AS45/'Est gen ed 23 pos'!AS$123</f>
        <v>0</v>
      </c>
      <c r="AT45" s="43">
        <f>'Est gen ed 23 $$'!AT45/'Est gen ed 23 pos'!AT$123</f>
        <v>0</v>
      </c>
      <c r="AU45" s="34">
        <f>VLOOKUP($A45,'[1]Init $$'!$B$3:$CG$118,47,FALSE)</f>
        <v>120057.3</v>
      </c>
      <c r="AV45" s="34">
        <f>VLOOKUP($A45,'[1]Init $$'!$B$3:$CG$118,48,FALSE)</f>
        <v>0</v>
      </c>
      <c r="AW45" s="34">
        <f>VLOOKUP($A45,'[1]Init $$'!$B$3:$CG$118,49,FALSE)</f>
        <v>0</v>
      </c>
      <c r="AX45" s="34">
        <f>VLOOKUP($A45,'[1]Init $$'!$B$3:$CG$118,50,FALSE)</f>
        <v>0</v>
      </c>
      <c r="AY45" s="34">
        <f>VLOOKUP($A45,'[1]Init $$'!$B$3:$CG$118,51,FALSE)</f>
        <v>0</v>
      </c>
      <c r="AZ45" s="34">
        <f>VLOOKUP($A45,'[1]Init $$'!$B$3:$CG$118,52,FALSE)</f>
        <v>0</v>
      </c>
      <c r="BA45" s="34">
        <f>VLOOKUP($A45,'[1]Init $$'!$B$3:$CG$118,53,FALSE)</f>
        <v>0</v>
      </c>
      <c r="BB45" s="34">
        <f>VLOOKUP($A45,'[1]Init $$'!$B$3:$CG$118,54,FALSE)</f>
        <v>0</v>
      </c>
      <c r="BC45" s="34">
        <f>VLOOKUP($A45,'[1]Init $$'!$B$3:$CG$118,55,FALSE)</f>
        <v>0</v>
      </c>
      <c r="BD45" s="34">
        <f>VLOOKUP($A45,'[1]Init $$'!$B$3:$CG$118,56,FALSE)</f>
        <v>0</v>
      </c>
      <c r="BE45" s="34">
        <f>VLOOKUP($A45,'[1]Init $$'!$B$3:$CG$118,57,FALSE)</f>
        <v>8850</v>
      </c>
      <c r="BF45" s="43">
        <f>'Est gen ed 23 $$'!BF45/'Est gen ed 23 pos'!BF$123</f>
        <v>0</v>
      </c>
      <c r="BG45" s="43">
        <f>'Est gen ed 23 $$'!BG45/'Est gen ed 23 pos'!BG$123</f>
        <v>0</v>
      </c>
      <c r="BH45" s="34">
        <f>VLOOKUP($A45,'[1]Init $$'!$B$3:$CG$118,60,FALSE)</f>
        <v>0</v>
      </c>
      <c r="BI45" s="34">
        <f>VLOOKUP($A45,'[1]Init $$'!$B$3:$CG$118,61,FALSE)</f>
        <v>0</v>
      </c>
      <c r="BJ45" s="34">
        <f>VLOOKUP($A45,'[1]Init $$'!$B$3:$CG$118,62,FALSE)</f>
        <v>0</v>
      </c>
      <c r="BK45" s="43">
        <f>'Est gen ed 23 $$'!BK45/'Est gen ed 23 pos'!BK$123</f>
        <v>0</v>
      </c>
      <c r="BL45" s="34">
        <f>VLOOKUP($A45,'[1]Init $$'!$B$3:$CG$118,64,FALSE)</f>
        <v>0</v>
      </c>
      <c r="BM45" s="43">
        <f>'Est gen ed 23 $$'!BM45/'Est gen ed 23 pos'!BM$123</f>
        <v>0</v>
      </c>
      <c r="BN45" s="34">
        <f>VLOOKUP($A45,'[1]Init $$'!$B$3:$CG$118,66,FALSE)</f>
        <v>0</v>
      </c>
      <c r="BO45" s="43">
        <f>'Est gen ed 23 $$'!BO45/'Est gen ed 23 pos'!BO$123</f>
        <v>0</v>
      </c>
      <c r="BP45" s="34">
        <f>VLOOKUP($A45,'[1]Init $$'!$B$3:$CG$118,68,FALSE)</f>
        <v>0</v>
      </c>
      <c r="BQ45" s="43">
        <f>'Est gen ed 23 $$'!BQ45/'Est gen ed 23 pos'!BQ$123</f>
        <v>0</v>
      </c>
      <c r="BR45" s="43">
        <f>'Est gen ed 23 $$'!BR45/'Est gen ed 23 pos'!BR$123</f>
        <v>0</v>
      </c>
      <c r="BS45" s="34">
        <f>VLOOKUP($A45,'[1]Init $$'!$B$3:$CG$118,71,FALSE)</f>
        <v>0</v>
      </c>
      <c r="BT45" s="34">
        <f>VLOOKUP($A45,'[1]Init $$'!$B$3:$CG$118,72,FALSE)</f>
        <v>0</v>
      </c>
      <c r="BU45" s="34">
        <f>VLOOKUP($A45,'[1]Init $$'!$B$3:$CG$118,73,FALSE)</f>
        <v>0</v>
      </c>
      <c r="BV45" s="34">
        <f>VLOOKUP($A45,'[1]Init $$'!$B$3:$CG$118,74,FALSE)</f>
        <v>0</v>
      </c>
      <c r="BW45" s="34">
        <f>VLOOKUP($A45,'[1]Init $$'!$B$3:$CG$118,75,FALSE)</f>
        <v>0</v>
      </c>
      <c r="BX45" s="43">
        <f>'Est gen ed 23 $$'!BX45/'Est gen ed 23 pos'!BX$123</f>
        <v>0</v>
      </c>
      <c r="BY45" s="43">
        <f>'Est gen ed 23 $$'!BY45/'Est gen ed 23 pos'!BY$123</f>
        <v>0</v>
      </c>
      <c r="BZ45" s="43">
        <f>'Est gen ed 23 $$'!BZ45/'Est gen ed 23 pos'!BZ$123</f>
        <v>0</v>
      </c>
      <c r="CA45" s="34">
        <f>VLOOKUP($A45,'[1]Init $$'!$B$3:$CG$118,79,FALSE)</f>
        <v>80475.12</v>
      </c>
      <c r="CB45" s="34">
        <f>VLOOKUP($A45,'[1]Init $$'!$B$3:$CG$118,80,FALSE)</f>
        <v>0</v>
      </c>
      <c r="CC45" s="34">
        <f>VLOOKUP($A45,'[1]Init $$'!$B$3:$CG$118,81,FALSE)</f>
        <v>261714.11</v>
      </c>
      <c r="CD45" s="34">
        <f>VLOOKUP($A45,'[1]Init $$'!$B$3:$CG$118,82,FALSE)</f>
        <v>122020.05</v>
      </c>
      <c r="CE45" s="34">
        <f>VLOOKUP($A45,'[1]Init $$'!$B$3:$CG$118,83,FALSE)</f>
        <v>72735.7</v>
      </c>
      <c r="CF45" s="34">
        <f>VLOOKUP($A45,'[1]Init $$'!$B$3:$CG$118,84,FALSE)</f>
        <v>70024.37</v>
      </c>
      <c r="CJ45" s="28">
        <f t="shared" si="2"/>
        <v>2880067.7499990342</v>
      </c>
      <c r="CK45" s="43">
        <f>'Est gen ed 23 $$'!CK45/'Est gen ed 23 pos'!CK$123</f>
        <v>0.99999604682144683</v>
      </c>
      <c r="CL45" s="43">
        <f>'Est gen ed 23 $$'!CL45/'Est gen ed 23 pos'!CL$123</f>
        <v>0.88500000000000001</v>
      </c>
      <c r="CM45" s="43">
        <f>'Est gen ed 23 $$'!CM45/'Est gen ed 23 pos'!CM$123</f>
        <v>1</v>
      </c>
      <c r="CN45" s="43">
        <f>'Est gen ed 23 $$'!CN45/'Est gen ed 23 pos'!CN$123</f>
        <v>0</v>
      </c>
      <c r="CO45" s="43">
        <f>'Est gen ed 23 $$'!CO45/'Est gen ed 23 pos'!CO$123</f>
        <v>0</v>
      </c>
      <c r="CP45" s="43">
        <f>'Est gen ed 23 $$'!CP45/'Est gen ed 23 pos'!CP$123</f>
        <v>0</v>
      </c>
      <c r="CQ45" s="43">
        <f>'Est gen ed 23 $$'!CQ45/'Est gen ed 23 pos'!CQ$123</f>
        <v>0.99999604682144683</v>
      </c>
      <c r="CR45" s="43">
        <f>'Est gen ed 23 $$'!CR45/'Est gen ed 23 pos'!CR$123</f>
        <v>0.99999604682144683</v>
      </c>
      <c r="CS45" s="43">
        <f>'Est gen ed 23 $$'!CS45/'Est gen ed 23 pos'!CS$123</f>
        <v>1.4999940702321701</v>
      </c>
      <c r="CT45" s="43">
        <f>'Est gen ed 23 $$'!CT45/'Est gen ed 23 pos'!CT$123</f>
        <v>3</v>
      </c>
      <c r="CU45" s="43">
        <f>'Est gen ed 23 $$'!CU45/'Est gen ed 23 pos'!CU$123</f>
        <v>17</v>
      </c>
      <c r="CZ45" s="43">
        <f>'Est gen ed 23 $$'!CW45/'Est gen ed 23 pos'!CZ$123</f>
        <v>0</v>
      </c>
      <c r="DB45" s="28">
        <f t="shared" si="3"/>
        <v>1869549</v>
      </c>
      <c r="DC45" s="28">
        <f t="shared" si="0"/>
        <v>526494.23</v>
      </c>
      <c r="DK45" s="34"/>
      <c r="DL45" s="34"/>
    </row>
    <row r="46" spans="1:116" x14ac:dyDescent="0.2">
      <c r="A46">
        <v>249</v>
      </c>
      <c r="B46" t="s">
        <v>83</v>
      </c>
      <c r="C46" t="s">
        <v>7</v>
      </c>
      <c r="D46">
        <v>8</v>
      </c>
      <c r="E46">
        <f>VLOOKUP($A46,'[1]Init $$'!$B$3:$CG$118,4,FALSE)</f>
        <v>290</v>
      </c>
      <c r="F46">
        <f>VLOOKUP($A46,'[1]Init $$'!$B$3:$CG$118,6,FALSE)</f>
        <v>235</v>
      </c>
      <c r="G46">
        <f>VLOOKUP($A46,'[2]$$xSchpostCouncilxLevel'!$A$4:$EW$120,153,FALSE)</f>
        <v>250</v>
      </c>
      <c r="H46" s="50">
        <f t="shared" si="1"/>
        <v>-15</v>
      </c>
      <c r="I46" s="4">
        <f>VLOOKUP($A46,'[1]Init $$'!$B$3:$CG$118,8,FALSE)</f>
        <v>0.91379310344827591</v>
      </c>
      <c r="J46">
        <f>VLOOKUP($A46,'[1]Init $$'!$B$3:$CG$118,7,FALSE)</f>
        <v>265</v>
      </c>
      <c r="K46" s="43">
        <f>'Est gen ed 23 $$'!K46/'Est gen ed 23 pos'!K$123</f>
        <v>1</v>
      </c>
      <c r="L46" s="43">
        <f>'Est gen ed 23 $$'!L46/'Est gen ed 23 pos'!L$123</f>
        <v>0</v>
      </c>
      <c r="M46" s="43">
        <f>'Est gen ed 23 $$'!M46/'Est gen ed 23 pos'!M$123</f>
        <v>0</v>
      </c>
      <c r="N46" s="43">
        <f>'Est gen ed 23 $$'!N46/'Est gen ed 23 pos'!N$123</f>
        <v>1</v>
      </c>
      <c r="O46" s="34">
        <f>VLOOKUP($A46,'[1]Init $$'!$B$3:$CG$118,15,FALSE)</f>
        <v>7595.1</v>
      </c>
      <c r="P46" s="43">
        <f>'Est gen ed 23 $$'!P46/'Est gen ed 23 pos'!P$123</f>
        <v>1</v>
      </c>
      <c r="Q46" s="43">
        <f>'Est gen ed 23 $$'!Q46/'Est gen ed 23 pos'!Q$123</f>
        <v>1</v>
      </c>
      <c r="R46" s="43">
        <f>'Est gen ed 23 $$'!R46/'Est gen ed 23 pos'!R$123</f>
        <v>2.0000001953611113</v>
      </c>
      <c r="S46" s="43">
        <f>'Est gen ed 23 $$'!S46/'Est gen ed 23 pos'!S$123</f>
        <v>1</v>
      </c>
      <c r="T46" s="43">
        <f>'Est gen ed 23 $$'!T46/'Est gen ed 23 pos'!T$123</f>
        <v>1.9999999121515879</v>
      </c>
      <c r="U46" s="43">
        <f>'Est gen ed 23 $$'!U46/'Est gen ed 23 pos'!U$123</f>
        <v>0</v>
      </c>
      <c r="V46" s="43">
        <f>'Est gen ed 23 $$'!V46/'Est gen ed 23 pos'!V$123</f>
        <v>1.9999999121515879</v>
      </c>
      <c r="W46" s="43">
        <f>'Est gen ed 23 $$'!W46/'Est gen ed 23 pos'!W$123</f>
        <v>3.9999997446793079</v>
      </c>
      <c r="X46" s="34">
        <f>VLOOKUP($A46,'[1]Init $$'!$B$3:$CG$118,24,FALSE)</f>
        <v>98554.5</v>
      </c>
      <c r="Y46" s="34">
        <f>VLOOKUP($A46,'[1]Init $$'!$B$3:$CG$118,25,FALSE)</f>
        <v>0</v>
      </c>
      <c r="Z46" s="34">
        <f>VLOOKUP($A46,'[1]Init $$'!$B$3:$CG$118,26,FALSE)</f>
        <v>0</v>
      </c>
      <c r="AA46" s="34">
        <f>VLOOKUP($A46,'[1]Init $$'!$B$3:$CG$118,27,FALSE)</f>
        <v>0</v>
      </c>
      <c r="AB46" s="43">
        <f>'Est gen ed 23 $$'!AB46/'Est gen ed 23 pos'!AB$123</f>
        <v>0</v>
      </c>
      <c r="AC46" s="43">
        <f>'Est gen ed 23 $$'!AC46/'Est gen ed 23 pos'!AC$123</f>
        <v>0</v>
      </c>
      <c r="AD46" s="43">
        <f>'Est gen ed 23 $$'!AD46/'Est gen ed 23 pos'!AD$123</f>
        <v>0</v>
      </c>
      <c r="AE46" s="43">
        <f>'Est gen ed 23 $$'!AE46/'Est gen ed 23 pos'!AE$123</f>
        <v>0</v>
      </c>
      <c r="AF46" s="34">
        <f>VLOOKUP($A46,'[1]Init $$'!$B$3:$CG$118,32,FALSE)</f>
        <v>1403655</v>
      </c>
      <c r="AG46" s="34">
        <f>VLOOKUP($A46,'[1]Init $$'!$B$3:$CG$118,33,FALSE)</f>
        <v>94250</v>
      </c>
      <c r="AH46" s="43">
        <f>'Est gen ed 23 $$'!AH46/'Est gen ed 23 pos'!AH$123</f>
        <v>1</v>
      </c>
      <c r="AI46" s="43">
        <f>'Est gen ed 23 $$'!AI46/'Est gen ed 23 pos'!AI$123</f>
        <v>1.9999999121515879</v>
      </c>
      <c r="AJ46" s="43">
        <f>'Est gen ed 23 $$'!AJ46/'Est gen ed 23 pos'!AJ$123</f>
        <v>2.9999999121515879</v>
      </c>
      <c r="AK46" s="43">
        <f>'Est gen ed 23 $$'!AK46/'Est gen ed 23 pos'!AK$123</f>
        <v>1</v>
      </c>
      <c r="AL46" s="43">
        <f>'Est gen ed 23 $$'!AL46/'Est gen ed 23 pos'!AL$123</f>
        <v>1</v>
      </c>
      <c r="AM46" s="43">
        <f>'Est gen ed 23 $$'!AM46/'Est gen ed 23 pos'!AM$123</f>
        <v>0</v>
      </c>
      <c r="AN46" s="43">
        <f>'Est gen ed 23 $$'!AN46/'Est gen ed 23 pos'!AN$123</f>
        <v>0</v>
      </c>
      <c r="AO46" s="43">
        <f>'Est gen ed 23 $$'!AO46/'Est gen ed 23 pos'!AO$123</f>
        <v>0</v>
      </c>
      <c r="AP46" s="34">
        <f>VLOOKUP($A46,'[1]Init $$'!$B$3:$CG$118,42,FALSE)</f>
        <v>68092.2</v>
      </c>
      <c r="AQ46" s="34">
        <f>VLOOKUP($A46,'[1]Init $$'!$B$3:$CG$118,43,FALSE)</f>
        <v>0</v>
      </c>
      <c r="AR46" s="43">
        <f>'Est gen ed 23 $$'!AR46/'Est gen ed 23 pos'!AR$123</f>
        <v>0</v>
      </c>
      <c r="AS46" s="43">
        <f>'Est gen ed 23 $$'!AS46/'Est gen ed 23 pos'!AS$123</f>
        <v>4.9999978037896929E-2</v>
      </c>
      <c r="AT46" s="43">
        <f>'Est gen ed 23 $$'!AT46/'Est gen ed 23 pos'!AT$123</f>
        <v>0</v>
      </c>
      <c r="AU46" s="34">
        <f>VLOOKUP($A46,'[1]Init $$'!$B$3:$CG$118,47,FALSE)</f>
        <v>1791.9</v>
      </c>
      <c r="AV46" s="34">
        <f>VLOOKUP($A46,'[1]Init $$'!$B$3:$CG$118,48,FALSE)</f>
        <v>20400</v>
      </c>
      <c r="AW46" s="34">
        <f>VLOOKUP($A46,'[1]Init $$'!$B$3:$CG$118,49,FALSE)</f>
        <v>20400</v>
      </c>
      <c r="AX46" s="34">
        <f>VLOOKUP($A46,'[1]Init $$'!$B$3:$CG$118,50,FALSE)</f>
        <v>10200</v>
      </c>
      <c r="AY46" s="34">
        <f>VLOOKUP($A46,'[1]Init $$'!$B$3:$CG$118,51,FALSE)</f>
        <v>0</v>
      </c>
      <c r="AZ46" s="34">
        <f>VLOOKUP($A46,'[1]Init $$'!$B$3:$CG$118,52,FALSE)</f>
        <v>20400</v>
      </c>
      <c r="BA46" s="34">
        <f>VLOOKUP($A46,'[1]Init $$'!$B$3:$CG$118,53,FALSE)</f>
        <v>0</v>
      </c>
      <c r="BB46" s="34">
        <f>VLOOKUP($A46,'[1]Init $$'!$B$3:$CG$118,54,FALSE)</f>
        <v>20400</v>
      </c>
      <c r="BC46" s="34">
        <f>VLOOKUP($A46,'[1]Init $$'!$B$3:$CG$118,55,FALSE)</f>
        <v>156942.54</v>
      </c>
      <c r="BD46" s="34">
        <f>VLOOKUP($A46,'[1]Init $$'!$B$3:$CG$118,56,FALSE)</f>
        <v>2527.96</v>
      </c>
      <c r="BE46" s="34">
        <f>VLOOKUP($A46,'[1]Init $$'!$B$3:$CG$118,57,FALSE)</f>
        <v>0</v>
      </c>
      <c r="BF46" s="43">
        <f>'Est gen ed 23 $$'!BF46/'Est gen ed 23 pos'!BF$123</f>
        <v>0</v>
      </c>
      <c r="BG46" s="43">
        <f>'Est gen ed 23 $$'!BG46/'Est gen ed 23 pos'!BG$123</f>
        <v>0</v>
      </c>
      <c r="BH46" s="34">
        <f>VLOOKUP($A46,'[1]Init $$'!$B$3:$CG$118,60,FALSE)</f>
        <v>0</v>
      </c>
      <c r="BI46" s="34">
        <f>VLOOKUP($A46,'[1]Init $$'!$B$3:$CG$118,61,FALSE)</f>
        <v>0</v>
      </c>
      <c r="BJ46" s="34">
        <f>VLOOKUP($A46,'[1]Init $$'!$B$3:$CG$118,62,FALSE)</f>
        <v>0</v>
      </c>
      <c r="BK46" s="43">
        <f>'Est gen ed 23 $$'!BK46/'Est gen ed 23 pos'!BK$123</f>
        <v>0</v>
      </c>
      <c r="BL46" s="34">
        <f>VLOOKUP($A46,'[1]Init $$'!$B$3:$CG$118,64,FALSE)</f>
        <v>0</v>
      </c>
      <c r="BM46" s="43">
        <f>'Est gen ed 23 $$'!BM46/'Est gen ed 23 pos'!BM$123</f>
        <v>0</v>
      </c>
      <c r="BN46" s="34">
        <f>VLOOKUP($A46,'[1]Init $$'!$B$3:$CG$118,66,FALSE)</f>
        <v>0</v>
      </c>
      <c r="BO46" s="43">
        <f>'Est gen ed 23 $$'!BO46/'Est gen ed 23 pos'!BO$123</f>
        <v>0</v>
      </c>
      <c r="BP46" s="34">
        <f>VLOOKUP($A46,'[1]Init $$'!$B$3:$CG$118,68,FALSE)</f>
        <v>0</v>
      </c>
      <c r="BQ46" s="43">
        <f>'Est gen ed 23 $$'!BQ46/'Est gen ed 23 pos'!BQ$123</f>
        <v>0</v>
      </c>
      <c r="BR46" s="43">
        <f>'Est gen ed 23 $$'!BR46/'Est gen ed 23 pos'!BR$123</f>
        <v>0</v>
      </c>
      <c r="BS46" s="34">
        <f>VLOOKUP($A46,'[1]Init $$'!$B$3:$CG$118,71,FALSE)</f>
        <v>0</v>
      </c>
      <c r="BT46" s="34">
        <f>VLOOKUP($A46,'[1]Init $$'!$B$3:$CG$118,72,FALSE)</f>
        <v>0</v>
      </c>
      <c r="BU46" s="34">
        <f>VLOOKUP($A46,'[1]Init $$'!$B$3:$CG$118,73,FALSE)</f>
        <v>15325</v>
      </c>
      <c r="BV46" s="34">
        <f>VLOOKUP($A46,'[1]Init $$'!$B$3:$CG$118,74,FALSE)</f>
        <v>0</v>
      </c>
      <c r="BW46" s="34">
        <f>VLOOKUP($A46,'[1]Init $$'!$B$3:$CG$118,75,FALSE)</f>
        <v>0</v>
      </c>
      <c r="BX46" s="43">
        <f>'Est gen ed 23 $$'!BX46/'Est gen ed 23 pos'!BX$123</f>
        <v>0</v>
      </c>
      <c r="BY46" s="43">
        <f>'Est gen ed 23 $$'!BY46/'Est gen ed 23 pos'!BY$123</f>
        <v>0</v>
      </c>
      <c r="BZ46" s="43">
        <f>'Est gen ed 23 $$'!BZ46/'Est gen ed 23 pos'!BZ$123</f>
        <v>0</v>
      </c>
      <c r="CA46" s="34">
        <f>VLOOKUP($A46,'[1]Init $$'!$B$3:$CG$118,79,FALSE)</f>
        <v>710863.56</v>
      </c>
      <c r="CB46" s="34">
        <f>VLOOKUP($A46,'[1]Init $$'!$B$3:$CG$118,80,FALSE)</f>
        <v>177995.4</v>
      </c>
      <c r="CC46" s="34">
        <f>VLOOKUP($A46,'[1]Init $$'!$B$3:$CG$118,81,FALSE)</f>
        <v>282625.77</v>
      </c>
      <c r="CD46" s="34">
        <f>VLOOKUP($A46,'[1]Init $$'!$B$3:$CG$118,82,FALSE)</f>
        <v>168048.84</v>
      </c>
      <c r="CE46" s="34">
        <f>VLOOKUP($A46,'[1]Init $$'!$B$3:$CG$118,83,FALSE)</f>
        <v>238691.51</v>
      </c>
      <c r="CF46" s="34">
        <f>VLOOKUP($A46,'[1]Init $$'!$B$3:$CG$118,84,FALSE)</f>
        <v>221930.77</v>
      </c>
      <c r="CJ46" s="28">
        <f t="shared" si="2"/>
        <v>3740713.0999995661</v>
      </c>
      <c r="CK46" s="43">
        <f>'Est gen ed 23 $$'!CK46/'Est gen ed 23 pos'!CK$123</f>
        <v>0.99999604682144683</v>
      </c>
      <c r="CL46" s="43">
        <f>'Est gen ed 23 $$'!CL46/'Est gen ed 23 pos'!CL$123</f>
        <v>0</v>
      </c>
      <c r="CM46" s="43">
        <f>'Est gen ed 23 $$'!CM46/'Est gen ed 23 pos'!CM$123</f>
        <v>0.5</v>
      </c>
      <c r="CN46" s="43">
        <f>'Est gen ed 23 $$'!CN46/'Est gen ed 23 pos'!CN$123</f>
        <v>0</v>
      </c>
      <c r="CO46" s="43">
        <f>'Est gen ed 23 $$'!CO46/'Est gen ed 23 pos'!CO$123</f>
        <v>0</v>
      </c>
      <c r="CP46" s="43">
        <f>'Est gen ed 23 $$'!CP46/'Est gen ed 23 pos'!CP$123</f>
        <v>0</v>
      </c>
      <c r="CQ46" s="43">
        <f>'Est gen ed 23 $$'!CQ46/'Est gen ed 23 pos'!CQ$123</f>
        <v>0.99999604682144683</v>
      </c>
      <c r="CR46" s="43">
        <f>'Est gen ed 23 $$'!CR46/'Est gen ed 23 pos'!CR$123</f>
        <v>0.99999604682144683</v>
      </c>
      <c r="CS46" s="43">
        <f>'Est gen ed 23 $$'!CS46/'Est gen ed 23 pos'!CS$123</f>
        <v>1.4999940702321701</v>
      </c>
      <c r="CT46" s="43">
        <f>'Est gen ed 23 $$'!CT46/'Est gen ed 23 pos'!CT$123</f>
        <v>2</v>
      </c>
      <c r="CU46" s="43">
        <f>'Est gen ed 23 $$'!CU46/'Est gen ed 23 pos'!CU$123</f>
        <v>14</v>
      </c>
      <c r="CZ46" s="43">
        <f>'Est gen ed 23 $$'!CW46/'Est gen ed 23 pos'!CZ$123</f>
        <v>0</v>
      </c>
      <c r="DB46" s="28">
        <f t="shared" si="3"/>
        <v>1403655</v>
      </c>
      <c r="DC46" s="28">
        <f t="shared" si="0"/>
        <v>911296.89</v>
      </c>
      <c r="DK46" s="34"/>
      <c r="DL46" s="34"/>
    </row>
    <row r="47" spans="1:116" x14ac:dyDescent="0.2">
      <c r="A47">
        <v>251</v>
      </c>
      <c r="B47" t="s">
        <v>82</v>
      </c>
      <c r="C47" t="s">
        <v>7</v>
      </c>
      <c r="D47">
        <v>7</v>
      </c>
      <c r="E47">
        <f>VLOOKUP($A47,'[1]Init $$'!$B$3:$CG$118,4,FALSE)</f>
        <v>280</v>
      </c>
      <c r="F47">
        <f>VLOOKUP($A47,'[1]Init $$'!$B$3:$CG$118,6,FALSE)</f>
        <v>213</v>
      </c>
      <c r="G47">
        <f>VLOOKUP($A47,'[2]$$xSchpostCouncilxLevel'!$A$4:$EW$120,153,FALSE)</f>
        <v>216</v>
      </c>
      <c r="H47" s="50">
        <f t="shared" si="1"/>
        <v>-3</v>
      </c>
      <c r="I47" s="4">
        <f>VLOOKUP($A47,'[1]Init $$'!$B$3:$CG$118,8,FALSE)</f>
        <v>0.70357142857142863</v>
      </c>
      <c r="J47">
        <f>VLOOKUP($A47,'[1]Init $$'!$B$3:$CG$118,7,FALSE)</f>
        <v>197</v>
      </c>
      <c r="K47" s="43">
        <f>'Est gen ed 23 $$'!K47/'Est gen ed 23 pos'!K$123</f>
        <v>1</v>
      </c>
      <c r="L47" s="43">
        <f>'Est gen ed 23 $$'!L47/'Est gen ed 23 pos'!L$123</f>
        <v>0</v>
      </c>
      <c r="M47" s="43">
        <f>'Est gen ed 23 $$'!M47/'Est gen ed 23 pos'!M$123</f>
        <v>0</v>
      </c>
      <c r="N47" s="43">
        <f>'Est gen ed 23 $$'!N47/'Est gen ed 23 pos'!N$123</f>
        <v>1</v>
      </c>
      <c r="O47" s="34">
        <f>VLOOKUP($A47,'[1]Init $$'!$B$3:$CG$118,15,FALSE)</f>
        <v>5451</v>
      </c>
      <c r="P47" s="43">
        <f>'Est gen ed 23 $$'!P47/'Est gen ed 23 pos'!P$123</f>
        <v>1</v>
      </c>
      <c r="Q47" s="43">
        <f>'Est gen ed 23 $$'!Q47/'Est gen ed 23 pos'!Q$123</f>
        <v>1</v>
      </c>
      <c r="R47" s="43">
        <f>'Est gen ed 23 $$'!R47/'Est gen ed 23 pos'!R$123</f>
        <v>1</v>
      </c>
      <c r="S47" s="43">
        <f>'Est gen ed 23 $$'!S47/'Est gen ed 23 pos'!S$123</f>
        <v>1</v>
      </c>
      <c r="T47" s="43">
        <f>'Est gen ed 23 $$'!T47/'Est gen ed 23 pos'!T$123</f>
        <v>1.9999999121515879</v>
      </c>
      <c r="U47" s="43">
        <f>'Est gen ed 23 $$'!U47/'Est gen ed 23 pos'!U$123</f>
        <v>0</v>
      </c>
      <c r="V47" s="43">
        <f>'Est gen ed 23 $$'!V47/'Est gen ed 23 pos'!V$123</f>
        <v>1.9999999121515879</v>
      </c>
      <c r="W47" s="43">
        <f>'Est gen ed 23 $$'!W47/'Est gen ed 23 pos'!W$123</f>
        <v>3.9999997446793079</v>
      </c>
      <c r="X47" s="34">
        <f>VLOOKUP($A47,'[1]Init $$'!$B$3:$CG$118,24,FALSE)</f>
        <v>120057.3</v>
      </c>
      <c r="Y47" s="34">
        <f>VLOOKUP($A47,'[1]Init $$'!$B$3:$CG$118,25,FALSE)</f>
        <v>0</v>
      </c>
      <c r="Z47" s="34">
        <f>VLOOKUP($A47,'[1]Init $$'!$B$3:$CG$118,26,FALSE)</f>
        <v>0</v>
      </c>
      <c r="AA47" s="34">
        <f>VLOOKUP($A47,'[1]Init $$'!$B$3:$CG$118,27,FALSE)</f>
        <v>0</v>
      </c>
      <c r="AB47" s="43">
        <f>'Est gen ed 23 $$'!AB47/'Est gen ed 23 pos'!AB$123</f>
        <v>0</v>
      </c>
      <c r="AC47" s="43">
        <f>'Est gen ed 23 $$'!AC47/'Est gen ed 23 pos'!AC$123</f>
        <v>0</v>
      </c>
      <c r="AD47" s="43">
        <f>'Est gen ed 23 $$'!AD47/'Est gen ed 23 pos'!AD$123</f>
        <v>0</v>
      </c>
      <c r="AE47" s="43">
        <f>'Est gen ed 23 $$'!AE47/'Est gen ed 23 pos'!AE$123</f>
        <v>0</v>
      </c>
      <c r="AF47" s="34">
        <f>VLOOKUP($A47,'[1]Init $$'!$B$3:$CG$118,32,FALSE)</f>
        <v>1272249</v>
      </c>
      <c r="AG47" s="34">
        <f>VLOOKUP($A47,'[1]Init $$'!$B$3:$CG$118,33,FALSE)</f>
        <v>91000</v>
      </c>
      <c r="AH47" s="43">
        <f>'Est gen ed 23 $$'!AH47/'Est gen ed 23 pos'!AH$123</f>
        <v>1</v>
      </c>
      <c r="AI47" s="43">
        <f>'Est gen ed 23 $$'!AI47/'Est gen ed 23 pos'!AI$123</f>
        <v>1</v>
      </c>
      <c r="AJ47" s="43">
        <f>'Est gen ed 23 $$'!AJ47/'Est gen ed 23 pos'!AJ$123</f>
        <v>2.9999999121515879</v>
      </c>
      <c r="AK47" s="43">
        <f>'Est gen ed 23 $$'!AK47/'Est gen ed 23 pos'!AK$123</f>
        <v>5.9999998243031758</v>
      </c>
      <c r="AL47" s="43">
        <f>'Est gen ed 23 $$'!AL47/'Est gen ed 23 pos'!AL$123</f>
        <v>11.999998978717233</v>
      </c>
      <c r="AM47" s="43">
        <f>'Est gen ed 23 $$'!AM47/'Est gen ed 23 pos'!AM$123</f>
        <v>0</v>
      </c>
      <c r="AN47" s="43">
        <f>'Est gen ed 23 $$'!AN47/'Est gen ed 23 pos'!AN$123</f>
        <v>0</v>
      </c>
      <c r="AO47" s="43">
        <f>'Est gen ed 23 $$'!AO47/'Est gen ed 23 pos'!AO$123</f>
        <v>1</v>
      </c>
      <c r="AP47" s="34">
        <f>VLOOKUP($A47,'[1]Init $$'!$B$3:$CG$118,42,FALSE)</f>
        <v>121849.2</v>
      </c>
      <c r="AQ47" s="34">
        <f>VLOOKUP($A47,'[1]Init $$'!$B$3:$CG$118,43,FALSE)</f>
        <v>0</v>
      </c>
      <c r="AR47" s="43">
        <f>'Est gen ed 23 $$'!AR47/'Est gen ed 23 pos'!AR$123</f>
        <v>0</v>
      </c>
      <c r="AS47" s="43">
        <f>'Est gen ed 23 $$'!AS47/'Est gen ed 23 pos'!AS$123</f>
        <v>0.26999998682273813</v>
      </c>
      <c r="AT47" s="43">
        <f>'Est gen ed 23 $$'!AT47/'Est gen ed 23 pos'!AT$123</f>
        <v>0</v>
      </c>
      <c r="AU47" s="34">
        <f>VLOOKUP($A47,'[1]Init $$'!$B$3:$CG$118,47,FALSE)</f>
        <v>10751.4</v>
      </c>
      <c r="AV47" s="34">
        <f>VLOOKUP($A47,'[1]Init $$'!$B$3:$CG$118,48,FALSE)</f>
        <v>20400</v>
      </c>
      <c r="AW47" s="34">
        <f>VLOOKUP($A47,'[1]Init $$'!$B$3:$CG$118,49,FALSE)</f>
        <v>13600</v>
      </c>
      <c r="AX47" s="34">
        <f>VLOOKUP($A47,'[1]Init $$'!$B$3:$CG$118,50,FALSE)</f>
        <v>10200</v>
      </c>
      <c r="AY47" s="34">
        <f>VLOOKUP($A47,'[1]Init $$'!$B$3:$CG$118,51,FALSE)</f>
        <v>0</v>
      </c>
      <c r="AZ47" s="34">
        <f>VLOOKUP($A47,'[1]Init $$'!$B$3:$CG$118,52,FALSE)</f>
        <v>20400</v>
      </c>
      <c r="BA47" s="34">
        <f>VLOOKUP($A47,'[1]Init $$'!$B$3:$CG$118,53,FALSE)</f>
        <v>0</v>
      </c>
      <c r="BB47" s="34">
        <f>VLOOKUP($A47,'[1]Init $$'!$B$3:$CG$118,54,FALSE)</f>
        <v>13600</v>
      </c>
      <c r="BC47" s="34">
        <f>VLOOKUP($A47,'[1]Init $$'!$B$3:$CG$118,55,FALSE)</f>
        <v>151530.73000000001</v>
      </c>
      <c r="BD47" s="34">
        <f>VLOOKUP($A47,'[1]Init $$'!$B$3:$CG$118,56,FALSE)</f>
        <v>2440.79</v>
      </c>
      <c r="BE47" s="34">
        <f>VLOOKUP($A47,'[1]Init $$'!$B$3:$CG$118,57,FALSE)</f>
        <v>0</v>
      </c>
      <c r="BF47" s="43">
        <f>'Est gen ed 23 $$'!BF47/'Est gen ed 23 pos'!BF$123</f>
        <v>0</v>
      </c>
      <c r="BG47" s="43">
        <f>'Est gen ed 23 $$'!BG47/'Est gen ed 23 pos'!BG$123</f>
        <v>0</v>
      </c>
      <c r="BH47" s="34">
        <f>VLOOKUP($A47,'[1]Init $$'!$B$3:$CG$118,60,FALSE)</f>
        <v>0</v>
      </c>
      <c r="BI47" s="34">
        <f>VLOOKUP($A47,'[1]Init $$'!$B$3:$CG$118,61,FALSE)</f>
        <v>0</v>
      </c>
      <c r="BJ47" s="34">
        <f>VLOOKUP($A47,'[1]Init $$'!$B$3:$CG$118,62,FALSE)</f>
        <v>0</v>
      </c>
      <c r="BK47" s="43">
        <f>'Est gen ed 23 $$'!BK47/'Est gen ed 23 pos'!BK$123</f>
        <v>0</v>
      </c>
      <c r="BL47" s="34">
        <f>VLOOKUP($A47,'[1]Init $$'!$B$3:$CG$118,64,FALSE)</f>
        <v>0</v>
      </c>
      <c r="BM47" s="43">
        <f>'Est gen ed 23 $$'!BM47/'Est gen ed 23 pos'!BM$123</f>
        <v>0</v>
      </c>
      <c r="BN47" s="34">
        <f>VLOOKUP($A47,'[1]Init $$'!$B$3:$CG$118,66,FALSE)</f>
        <v>0</v>
      </c>
      <c r="BO47" s="43">
        <f>'Est gen ed 23 $$'!BO47/'Est gen ed 23 pos'!BO$123</f>
        <v>0</v>
      </c>
      <c r="BP47" s="34">
        <f>VLOOKUP($A47,'[1]Init $$'!$B$3:$CG$118,68,FALSE)</f>
        <v>231327</v>
      </c>
      <c r="BQ47" s="43">
        <f>'Est gen ed 23 $$'!BQ47/'Est gen ed 23 pos'!BQ$123</f>
        <v>0</v>
      </c>
      <c r="BR47" s="43">
        <f>'Est gen ed 23 $$'!BR47/'Est gen ed 23 pos'!BR$123</f>
        <v>0</v>
      </c>
      <c r="BS47" s="34">
        <f>VLOOKUP($A47,'[1]Init $$'!$B$3:$CG$118,71,FALSE)</f>
        <v>0</v>
      </c>
      <c r="BT47" s="34">
        <f>VLOOKUP($A47,'[1]Init $$'!$B$3:$CG$118,72,FALSE)</f>
        <v>0</v>
      </c>
      <c r="BU47" s="34">
        <f>VLOOKUP($A47,'[1]Init $$'!$B$3:$CG$118,73,FALSE)</f>
        <v>0</v>
      </c>
      <c r="BV47" s="34">
        <f>VLOOKUP($A47,'[1]Init $$'!$B$3:$CG$118,74,FALSE)</f>
        <v>0</v>
      </c>
      <c r="BW47" s="34">
        <f>VLOOKUP($A47,'[1]Init $$'!$B$3:$CG$118,75,FALSE)</f>
        <v>0</v>
      </c>
      <c r="BX47" s="43">
        <f>'Est gen ed 23 $$'!BX47/'Est gen ed 23 pos'!BX$123</f>
        <v>0</v>
      </c>
      <c r="BY47" s="43">
        <f>'Est gen ed 23 $$'!BY47/'Est gen ed 23 pos'!BY$123</f>
        <v>0</v>
      </c>
      <c r="BZ47" s="43">
        <f>'Est gen ed 23 $$'!BZ47/'Est gen ed 23 pos'!BZ$123</f>
        <v>0</v>
      </c>
      <c r="CA47" s="34">
        <f>VLOOKUP($A47,'[1]Init $$'!$B$3:$CG$118,79,FALSE)</f>
        <v>528453.29</v>
      </c>
      <c r="CB47" s="34">
        <f>VLOOKUP($A47,'[1]Init $$'!$B$3:$CG$118,80,FALSE)</f>
        <v>101541</v>
      </c>
      <c r="CC47" s="34">
        <f>VLOOKUP($A47,'[1]Init $$'!$B$3:$CG$118,81,FALSE)</f>
        <v>0</v>
      </c>
      <c r="CD47" s="34">
        <f>VLOOKUP($A47,'[1]Init $$'!$B$3:$CG$118,82,FALSE)</f>
        <v>0</v>
      </c>
      <c r="CE47" s="34">
        <f>VLOOKUP($A47,'[1]Init $$'!$B$3:$CG$118,83,FALSE)</f>
        <v>134667.71</v>
      </c>
      <c r="CF47" s="34">
        <f>VLOOKUP($A47,'[1]Init $$'!$B$3:$CG$118,84,FALSE)</f>
        <v>0</v>
      </c>
      <c r="CJ47" s="28">
        <f t="shared" si="2"/>
        <v>2849556.6899982709</v>
      </c>
      <c r="CK47" s="43">
        <f>'Est gen ed 23 $$'!CK47/'Est gen ed 23 pos'!CK$123</f>
        <v>0.99999604682144683</v>
      </c>
      <c r="CL47" s="43">
        <f>'Est gen ed 23 $$'!CL47/'Est gen ed 23 pos'!CL$123</f>
        <v>0</v>
      </c>
      <c r="CM47" s="43">
        <f>'Est gen ed 23 $$'!CM47/'Est gen ed 23 pos'!CM$123</f>
        <v>0.5</v>
      </c>
      <c r="CN47" s="43">
        <f>'Est gen ed 23 $$'!CN47/'Est gen ed 23 pos'!CN$123</f>
        <v>0</v>
      </c>
      <c r="CO47" s="43">
        <f>'Est gen ed 23 $$'!CO47/'Est gen ed 23 pos'!CO$123</f>
        <v>0</v>
      </c>
      <c r="CP47" s="43">
        <f>'Est gen ed 23 $$'!CP47/'Est gen ed 23 pos'!CP$123</f>
        <v>0</v>
      </c>
      <c r="CQ47" s="43">
        <f>'Est gen ed 23 $$'!CQ47/'Est gen ed 23 pos'!CQ$123</f>
        <v>0.99999604682144683</v>
      </c>
      <c r="CR47" s="43">
        <f>'Est gen ed 23 $$'!CR47/'Est gen ed 23 pos'!CR$123</f>
        <v>0.99999604682144683</v>
      </c>
      <c r="CS47" s="43">
        <f>'Est gen ed 23 $$'!CS47/'Est gen ed 23 pos'!CS$123</f>
        <v>1.4999940702321701</v>
      </c>
      <c r="CT47" s="43">
        <f>'Est gen ed 23 $$'!CT47/'Est gen ed 23 pos'!CT$123</f>
        <v>2</v>
      </c>
      <c r="CU47" s="43">
        <f>'Est gen ed 23 $$'!CU47/'Est gen ed 23 pos'!CU$123</f>
        <v>12.999999999999998</v>
      </c>
      <c r="CZ47" s="43">
        <f>'Est gen ed 23 $$'!CW47/'Est gen ed 23 pos'!CZ$123</f>
        <v>0</v>
      </c>
      <c r="DB47" s="28">
        <f t="shared" si="3"/>
        <v>1272249</v>
      </c>
      <c r="DC47" s="28">
        <f t="shared" si="0"/>
        <v>134667.71</v>
      </c>
      <c r="DK47" s="34"/>
      <c r="DL47" s="34"/>
    </row>
    <row r="48" spans="1:116" x14ac:dyDescent="0.2">
      <c r="A48">
        <v>252</v>
      </c>
      <c r="B48" t="s">
        <v>81</v>
      </c>
      <c r="C48" t="s">
        <v>7</v>
      </c>
      <c r="D48">
        <v>2</v>
      </c>
      <c r="E48">
        <f>VLOOKUP($A48,'[1]Init $$'!$B$3:$CG$118,4,FALSE)</f>
        <v>379</v>
      </c>
      <c r="F48">
        <f>VLOOKUP($A48,'[1]Init $$'!$B$3:$CG$118,6,FALSE)</f>
        <v>341</v>
      </c>
      <c r="G48">
        <f>VLOOKUP($A48,'[2]$$xSchpostCouncilxLevel'!$A$4:$EW$120,153,FALSE)</f>
        <v>351</v>
      </c>
      <c r="H48" s="50">
        <f t="shared" si="1"/>
        <v>-10</v>
      </c>
      <c r="I48" s="4">
        <f>VLOOKUP($A48,'[1]Init $$'!$B$3:$CG$118,8,FALSE)</f>
        <v>0.11345646437994723</v>
      </c>
      <c r="J48">
        <f>VLOOKUP($A48,'[1]Init $$'!$B$3:$CG$118,7,FALSE)</f>
        <v>43</v>
      </c>
      <c r="K48" s="43">
        <f>'Est gen ed 23 $$'!K48/'Est gen ed 23 pos'!K$123</f>
        <v>1</v>
      </c>
      <c r="L48" s="43">
        <f>'Est gen ed 23 $$'!L48/'Est gen ed 23 pos'!L$123</f>
        <v>0</v>
      </c>
      <c r="M48" s="43">
        <f>'Est gen ed 23 $$'!M48/'Est gen ed 23 pos'!M$123</f>
        <v>0</v>
      </c>
      <c r="N48" s="43">
        <f>'Est gen ed 23 $$'!N48/'Est gen ed 23 pos'!N$123</f>
        <v>1</v>
      </c>
      <c r="O48" s="34">
        <f>VLOOKUP($A48,'[1]Init $$'!$B$3:$CG$118,15,FALSE)</f>
        <v>5747.55</v>
      </c>
      <c r="P48" s="43">
        <f>'Est gen ed 23 $$'!P48/'Est gen ed 23 pos'!P$123</f>
        <v>1</v>
      </c>
      <c r="Q48" s="43">
        <f>'Est gen ed 23 $$'!Q48/'Est gen ed 23 pos'!Q$123</f>
        <v>1</v>
      </c>
      <c r="R48" s="43">
        <f>'Est gen ed 23 $$'!R48/'Est gen ed 23 pos'!R$123</f>
        <v>2.0000001953611113</v>
      </c>
      <c r="S48" s="43">
        <f>'Est gen ed 23 $$'!S48/'Est gen ed 23 pos'!S$123</f>
        <v>1</v>
      </c>
      <c r="T48" s="43">
        <f>'Est gen ed 23 $$'!T48/'Est gen ed 23 pos'!T$123</f>
        <v>0</v>
      </c>
      <c r="U48" s="43">
        <f>'Est gen ed 23 $$'!U48/'Est gen ed 23 pos'!U$123</f>
        <v>0</v>
      </c>
      <c r="V48" s="43">
        <f>'Est gen ed 23 $$'!V48/'Est gen ed 23 pos'!V$123</f>
        <v>1.9999999121515879</v>
      </c>
      <c r="W48" s="43">
        <f>'Est gen ed 23 $$'!W48/'Est gen ed 23 pos'!W$123</f>
        <v>1.9999997446793083</v>
      </c>
      <c r="X48" s="34">
        <f>VLOOKUP($A48,'[1]Init $$'!$B$3:$CG$118,24,FALSE)</f>
        <v>68092.2</v>
      </c>
      <c r="Y48" s="34">
        <f>VLOOKUP($A48,'[1]Init $$'!$B$3:$CG$118,25,FALSE)</f>
        <v>0</v>
      </c>
      <c r="Z48" s="34">
        <f>VLOOKUP($A48,'[1]Init $$'!$B$3:$CG$118,26,FALSE)</f>
        <v>0</v>
      </c>
      <c r="AA48" s="34">
        <f>VLOOKUP($A48,'[1]Init $$'!$B$3:$CG$118,27,FALSE)</f>
        <v>0</v>
      </c>
      <c r="AB48" s="43">
        <f>'Est gen ed 23 $$'!AB48/'Est gen ed 23 pos'!AB$123</f>
        <v>0</v>
      </c>
      <c r="AC48" s="43">
        <f>'Est gen ed 23 $$'!AC48/'Est gen ed 23 pos'!AC$123</f>
        <v>0</v>
      </c>
      <c r="AD48" s="43">
        <f>'Est gen ed 23 $$'!AD48/'Est gen ed 23 pos'!AD$123</f>
        <v>0</v>
      </c>
      <c r="AE48" s="43">
        <f>'Est gen ed 23 $$'!AE48/'Est gen ed 23 pos'!AE$123</f>
        <v>0</v>
      </c>
      <c r="AF48" s="34">
        <f>VLOOKUP($A48,'[1]Init $$'!$B$3:$CG$118,32,FALSE)</f>
        <v>2036793</v>
      </c>
      <c r="AG48" s="34">
        <f>VLOOKUP($A48,'[1]Init $$'!$B$3:$CG$118,33,FALSE)</f>
        <v>123175</v>
      </c>
      <c r="AH48" s="43">
        <f>'Est gen ed 23 $$'!AH48/'Est gen ed 23 pos'!AH$123</f>
        <v>1</v>
      </c>
      <c r="AI48" s="43">
        <f>'Est gen ed 23 $$'!AI48/'Est gen ed 23 pos'!AI$123</f>
        <v>1</v>
      </c>
      <c r="AJ48" s="43">
        <f>'Est gen ed 23 $$'!AJ48/'Est gen ed 23 pos'!AJ$123</f>
        <v>2.9999999121515879</v>
      </c>
      <c r="AK48" s="43">
        <f>'Est gen ed 23 $$'!AK48/'Est gen ed 23 pos'!AK$123</f>
        <v>0</v>
      </c>
      <c r="AL48" s="43">
        <f>'Est gen ed 23 $$'!AL48/'Est gen ed 23 pos'!AL$123</f>
        <v>0</v>
      </c>
      <c r="AM48" s="43">
        <f>'Est gen ed 23 $$'!AM48/'Est gen ed 23 pos'!AM$123</f>
        <v>0</v>
      </c>
      <c r="AN48" s="43">
        <f>'Est gen ed 23 $$'!AN48/'Est gen ed 23 pos'!AN$123</f>
        <v>0</v>
      </c>
      <c r="AO48" s="43">
        <f>'Est gen ed 23 $$'!AO48/'Est gen ed 23 pos'!AO$123</f>
        <v>0</v>
      </c>
      <c r="AP48" s="34">
        <f>VLOOKUP($A48,'[1]Init $$'!$B$3:$CG$118,42,FALSE)</f>
        <v>64508.4</v>
      </c>
      <c r="AQ48" s="34">
        <f>VLOOKUP($A48,'[1]Init $$'!$B$3:$CG$118,43,FALSE)</f>
        <v>0</v>
      </c>
      <c r="AR48" s="43">
        <f>'Est gen ed 23 $$'!AR48/'Est gen ed 23 pos'!AR$123</f>
        <v>1.9999999121515879</v>
      </c>
      <c r="AS48" s="43">
        <f>'Est gen ed 23 $$'!AS48/'Est gen ed 23 pos'!AS$123</f>
        <v>0</v>
      </c>
      <c r="AT48" s="43">
        <f>'Est gen ed 23 $$'!AT48/'Est gen ed 23 pos'!AT$123</f>
        <v>0</v>
      </c>
      <c r="AU48" s="34">
        <f>VLOOKUP($A48,'[1]Init $$'!$B$3:$CG$118,47,FALSE)</f>
        <v>60924.6</v>
      </c>
      <c r="AV48" s="34">
        <f>VLOOKUP($A48,'[1]Init $$'!$B$3:$CG$118,48,FALSE)</f>
        <v>0</v>
      </c>
      <c r="AW48" s="34">
        <f>VLOOKUP($A48,'[1]Init $$'!$B$3:$CG$118,49,FALSE)</f>
        <v>0</v>
      </c>
      <c r="AX48" s="34">
        <f>VLOOKUP($A48,'[1]Init $$'!$B$3:$CG$118,50,FALSE)</f>
        <v>0</v>
      </c>
      <c r="AY48" s="34">
        <f>VLOOKUP($A48,'[1]Init $$'!$B$3:$CG$118,51,FALSE)</f>
        <v>0</v>
      </c>
      <c r="AZ48" s="34">
        <f>VLOOKUP($A48,'[1]Init $$'!$B$3:$CG$118,52,FALSE)</f>
        <v>0</v>
      </c>
      <c r="BA48" s="34">
        <f>VLOOKUP($A48,'[1]Init $$'!$B$3:$CG$118,53,FALSE)</f>
        <v>0</v>
      </c>
      <c r="BB48" s="34">
        <f>VLOOKUP($A48,'[1]Init $$'!$B$3:$CG$118,54,FALSE)</f>
        <v>0</v>
      </c>
      <c r="BC48" s="34">
        <f>VLOOKUP($A48,'[1]Init $$'!$B$3:$CG$118,55,FALSE)</f>
        <v>0</v>
      </c>
      <c r="BD48" s="34">
        <f>VLOOKUP($A48,'[1]Init $$'!$B$3:$CG$118,56,FALSE)</f>
        <v>0</v>
      </c>
      <c r="BE48" s="34">
        <f>VLOOKUP($A48,'[1]Init $$'!$B$3:$CG$118,57,FALSE)</f>
        <v>9475</v>
      </c>
      <c r="BF48" s="43">
        <f>'Est gen ed 23 $$'!BF48/'Est gen ed 23 pos'!BF$123</f>
        <v>0</v>
      </c>
      <c r="BG48" s="43">
        <f>'Est gen ed 23 $$'!BG48/'Est gen ed 23 pos'!BG$123</f>
        <v>0</v>
      </c>
      <c r="BH48" s="34">
        <f>VLOOKUP($A48,'[1]Init $$'!$B$3:$CG$118,60,FALSE)</f>
        <v>0</v>
      </c>
      <c r="BI48" s="34">
        <f>VLOOKUP($A48,'[1]Init $$'!$B$3:$CG$118,61,FALSE)</f>
        <v>0</v>
      </c>
      <c r="BJ48" s="34">
        <f>VLOOKUP($A48,'[1]Init $$'!$B$3:$CG$118,62,FALSE)</f>
        <v>0</v>
      </c>
      <c r="BK48" s="43">
        <f>'Est gen ed 23 $$'!BK48/'Est gen ed 23 pos'!BK$123</f>
        <v>0</v>
      </c>
      <c r="BL48" s="34">
        <f>VLOOKUP($A48,'[1]Init $$'!$B$3:$CG$118,64,FALSE)</f>
        <v>0</v>
      </c>
      <c r="BM48" s="43">
        <f>'Est gen ed 23 $$'!BM48/'Est gen ed 23 pos'!BM$123</f>
        <v>0</v>
      </c>
      <c r="BN48" s="34">
        <f>VLOOKUP($A48,'[1]Init $$'!$B$3:$CG$118,66,FALSE)</f>
        <v>0</v>
      </c>
      <c r="BO48" s="43">
        <f>'Est gen ed 23 $$'!BO48/'Est gen ed 23 pos'!BO$123</f>
        <v>0</v>
      </c>
      <c r="BP48" s="34">
        <f>VLOOKUP($A48,'[1]Init $$'!$B$3:$CG$118,68,FALSE)</f>
        <v>0</v>
      </c>
      <c r="BQ48" s="43">
        <f>'Est gen ed 23 $$'!BQ48/'Est gen ed 23 pos'!BQ$123</f>
        <v>0</v>
      </c>
      <c r="BR48" s="43">
        <f>'Est gen ed 23 $$'!BR48/'Est gen ed 23 pos'!BR$123</f>
        <v>0</v>
      </c>
      <c r="BS48" s="34">
        <f>VLOOKUP($A48,'[1]Init $$'!$B$3:$CG$118,71,FALSE)</f>
        <v>0</v>
      </c>
      <c r="BT48" s="34">
        <f>VLOOKUP($A48,'[1]Init $$'!$B$3:$CG$118,72,FALSE)</f>
        <v>0</v>
      </c>
      <c r="BU48" s="34">
        <f>VLOOKUP($A48,'[1]Init $$'!$B$3:$CG$118,73,FALSE)</f>
        <v>0</v>
      </c>
      <c r="BV48" s="34">
        <f>VLOOKUP($A48,'[1]Init $$'!$B$3:$CG$118,74,FALSE)</f>
        <v>0</v>
      </c>
      <c r="BW48" s="34">
        <f>VLOOKUP($A48,'[1]Init $$'!$B$3:$CG$118,75,FALSE)</f>
        <v>0</v>
      </c>
      <c r="BX48" s="43">
        <f>'Est gen ed 23 $$'!BX48/'Est gen ed 23 pos'!BX$123</f>
        <v>0</v>
      </c>
      <c r="BY48" s="43">
        <f>'Est gen ed 23 $$'!BY48/'Est gen ed 23 pos'!BY$123</f>
        <v>0</v>
      </c>
      <c r="BZ48" s="43">
        <f>'Est gen ed 23 $$'!BZ48/'Est gen ed 23 pos'!BZ$123</f>
        <v>0</v>
      </c>
      <c r="CA48" s="34">
        <f>VLOOKUP($A48,'[1]Init $$'!$B$3:$CG$118,79,FALSE)</f>
        <v>115347.67</v>
      </c>
      <c r="CB48" s="34">
        <f>VLOOKUP($A48,'[1]Init $$'!$B$3:$CG$118,80,FALSE)</f>
        <v>0</v>
      </c>
      <c r="CC48" s="34">
        <f>VLOOKUP($A48,'[1]Init $$'!$B$3:$CG$118,81,FALSE)</f>
        <v>247455.27</v>
      </c>
      <c r="CD48" s="34">
        <f>VLOOKUP($A48,'[1]Init $$'!$B$3:$CG$118,82,FALSE)</f>
        <v>278070.34000000003</v>
      </c>
      <c r="CE48" s="34">
        <f>VLOOKUP($A48,'[1]Init $$'!$B$3:$CG$118,83,FALSE)</f>
        <v>213792.09</v>
      </c>
      <c r="CF48" s="34">
        <f>VLOOKUP($A48,'[1]Init $$'!$B$3:$CG$118,84,FALSE)</f>
        <v>274776.21999999997</v>
      </c>
      <c r="CJ48" s="28">
        <f t="shared" si="2"/>
        <v>3498175.3399996758</v>
      </c>
      <c r="CK48" s="43">
        <f>'Est gen ed 23 $$'!CK48/'Est gen ed 23 pos'!CK$123</f>
        <v>0.99999604682144683</v>
      </c>
      <c r="CL48" s="43">
        <f>'Est gen ed 23 $$'!CL48/'Est gen ed 23 pos'!CL$123</f>
        <v>0.94750000000000001</v>
      </c>
      <c r="CM48" s="43">
        <f>'Est gen ed 23 $$'!CM48/'Est gen ed 23 pos'!CM$123</f>
        <v>1</v>
      </c>
      <c r="CN48" s="43">
        <f>'Est gen ed 23 $$'!CN48/'Est gen ed 23 pos'!CN$123</f>
        <v>0</v>
      </c>
      <c r="CO48" s="43">
        <f>'Est gen ed 23 $$'!CO48/'Est gen ed 23 pos'!CO$123</f>
        <v>0</v>
      </c>
      <c r="CP48" s="43">
        <f>'Est gen ed 23 $$'!CP48/'Est gen ed 23 pos'!CP$123</f>
        <v>0</v>
      </c>
      <c r="CQ48" s="43">
        <f>'Est gen ed 23 $$'!CQ48/'Est gen ed 23 pos'!CQ$123</f>
        <v>0.99999604682144683</v>
      </c>
      <c r="CR48" s="43">
        <f>'Est gen ed 23 $$'!CR48/'Est gen ed 23 pos'!CR$123</f>
        <v>0.99999604682144683</v>
      </c>
      <c r="CS48" s="43">
        <f>'Est gen ed 23 $$'!CS48/'Est gen ed 23 pos'!CS$123</f>
        <v>1.4999940702321701</v>
      </c>
      <c r="CT48" s="43">
        <f>'Est gen ed 23 $$'!CT48/'Est gen ed 23 pos'!CT$123</f>
        <v>3</v>
      </c>
      <c r="CU48" s="43">
        <f>'Est gen ed 23 $$'!CU48/'Est gen ed 23 pos'!CU$123</f>
        <v>18</v>
      </c>
      <c r="CZ48" s="43">
        <f>'Est gen ed 23 $$'!CW48/'Est gen ed 23 pos'!CZ$123</f>
        <v>0</v>
      </c>
      <c r="DB48" s="28">
        <f t="shared" si="3"/>
        <v>2036793</v>
      </c>
      <c r="DC48" s="28">
        <f t="shared" si="0"/>
        <v>1014093.9199999999</v>
      </c>
      <c r="DK48" s="34"/>
      <c r="DL48" s="34"/>
    </row>
    <row r="49" spans="1:116" x14ac:dyDescent="0.2">
      <c r="A49">
        <v>1071</v>
      </c>
      <c r="B49" t="s">
        <v>80</v>
      </c>
      <c r="C49" t="s">
        <v>19</v>
      </c>
      <c r="D49">
        <v>4</v>
      </c>
      <c r="E49">
        <f>VLOOKUP($A49,'[1]Init $$'!$B$3:$CG$118,4,FALSE)</f>
        <v>550</v>
      </c>
      <c r="F49">
        <f>VLOOKUP($A49,'[1]Init $$'!$B$3:$CG$118,6,FALSE)</f>
        <v>550</v>
      </c>
      <c r="G49">
        <f>VLOOKUP($A49,'[2]$$xSchpostCouncilxLevel'!$A$4:$EW$120,153,FALSE)</f>
        <v>551</v>
      </c>
      <c r="H49" s="50">
        <f t="shared" si="1"/>
        <v>-1</v>
      </c>
      <c r="I49" s="4">
        <f>VLOOKUP($A49,'[1]Init $$'!$B$3:$CG$118,8,FALSE)</f>
        <v>0.55454545454545456</v>
      </c>
      <c r="J49">
        <f>VLOOKUP($A49,'[1]Init $$'!$B$3:$CG$118,7,FALSE)</f>
        <v>305</v>
      </c>
      <c r="K49" s="43">
        <f>'Est gen ed 23 $$'!K49/'Est gen ed 23 pos'!K$123</f>
        <v>1</v>
      </c>
      <c r="L49" s="43">
        <f>'Est gen ed 23 $$'!L49/'Est gen ed 23 pos'!L$123</f>
        <v>1.4999999560757939</v>
      </c>
      <c r="M49" s="43">
        <f>'Est gen ed 23 $$'!M49/'Est gen ed 23 pos'!M$123</f>
        <v>0</v>
      </c>
      <c r="N49" s="43">
        <f>'Est gen ed 23 $$'!N49/'Est gen ed 23 pos'!N$123</f>
        <v>1</v>
      </c>
      <c r="O49" s="34">
        <f>VLOOKUP($A49,'[1]Init $$'!$B$3:$CG$118,15,FALSE)</f>
        <v>7456</v>
      </c>
      <c r="P49" s="43">
        <f>'Est gen ed 23 $$'!P49/'Est gen ed 23 pos'!P$123</f>
        <v>1</v>
      </c>
      <c r="Q49" s="43">
        <f>'Est gen ed 23 $$'!Q49/'Est gen ed 23 pos'!Q$123</f>
        <v>1</v>
      </c>
      <c r="R49" s="43">
        <f>'Est gen ed 23 $$'!R49/'Est gen ed 23 pos'!R$123</f>
        <v>4.0000003907222226</v>
      </c>
      <c r="S49" s="43">
        <f>'Est gen ed 23 $$'!S49/'Est gen ed 23 pos'!S$123</f>
        <v>1</v>
      </c>
      <c r="T49" s="43">
        <f>'Est gen ed 23 $$'!T49/'Est gen ed 23 pos'!T$123</f>
        <v>0</v>
      </c>
      <c r="U49" s="43">
        <f>'Est gen ed 23 $$'!U49/'Est gen ed 23 pos'!U$123</f>
        <v>0</v>
      </c>
      <c r="V49" s="43">
        <f>'Est gen ed 23 $$'!V49/'Est gen ed 23 pos'!V$123</f>
        <v>0</v>
      </c>
      <c r="W49" s="43">
        <f>'Est gen ed 23 $$'!W49/'Est gen ed 23 pos'!W$123</f>
        <v>0</v>
      </c>
      <c r="X49" s="34">
        <f>VLOOKUP($A49,'[1]Init $$'!$B$3:$CG$118,24,FALSE)</f>
        <v>0</v>
      </c>
      <c r="Y49" s="34">
        <f>VLOOKUP($A49,'[1]Init $$'!$B$3:$CG$118,25,FALSE)</f>
        <v>0</v>
      </c>
      <c r="Z49" s="34">
        <f>VLOOKUP($A49,'[1]Init $$'!$B$3:$CG$118,26,FALSE)</f>
        <v>0</v>
      </c>
      <c r="AA49" s="34">
        <f>VLOOKUP($A49,'[1]Init $$'!$B$3:$CG$118,27,FALSE)</f>
        <v>0</v>
      </c>
      <c r="AB49" s="43">
        <f>'Est gen ed 23 $$'!AB49/'Est gen ed 23 pos'!AB$123</f>
        <v>0</v>
      </c>
      <c r="AC49" s="43">
        <f>'Est gen ed 23 $$'!AC49/'Est gen ed 23 pos'!AC$123</f>
        <v>0</v>
      </c>
      <c r="AD49" s="43">
        <f>'Est gen ed 23 $$'!AD49/'Est gen ed 23 pos'!AD$123</f>
        <v>0</v>
      </c>
      <c r="AE49" s="43">
        <f>'Est gen ed 23 $$'!AE49/'Est gen ed 23 pos'!AE$123</f>
        <v>0</v>
      </c>
      <c r="AF49" s="34">
        <f>VLOOKUP($A49,'[1]Init $$'!$B$3:$CG$118,32,FALSE)</f>
        <v>3285150</v>
      </c>
      <c r="AG49" s="34">
        <f>VLOOKUP($A49,'[1]Init $$'!$B$3:$CG$118,33,FALSE)</f>
        <v>188100</v>
      </c>
      <c r="AH49" s="43">
        <f>'Est gen ed 23 $$'!AH49/'Est gen ed 23 pos'!AH$123</f>
        <v>1</v>
      </c>
      <c r="AI49" s="43">
        <f>'Est gen ed 23 $$'!AI49/'Est gen ed 23 pos'!AI$123</f>
        <v>1.9999999121515879</v>
      </c>
      <c r="AJ49" s="43">
        <f>'Est gen ed 23 $$'!AJ49/'Est gen ed 23 pos'!AJ$123</f>
        <v>8.9999997364547628</v>
      </c>
      <c r="AK49" s="43">
        <f>'Est gen ed 23 $$'!AK49/'Est gen ed 23 pos'!AK$123</f>
        <v>3.9999998243031758</v>
      </c>
      <c r="AL49" s="43">
        <f>'Est gen ed 23 $$'!AL49/'Est gen ed 23 pos'!AL$123</f>
        <v>5.9999994893586166</v>
      </c>
      <c r="AM49" s="43">
        <f>'Est gen ed 23 $$'!AM49/'Est gen ed 23 pos'!AM$123</f>
        <v>0</v>
      </c>
      <c r="AN49" s="43">
        <f>'Est gen ed 23 $$'!AN49/'Est gen ed 23 pos'!AN$123</f>
        <v>0</v>
      </c>
      <c r="AO49" s="43">
        <f>'Est gen ed 23 $$'!AO49/'Est gen ed 23 pos'!AO$123</f>
        <v>0</v>
      </c>
      <c r="AP49" s="34">
        <f>VLOOKUP($A49,'[1]Init $$'!$B$3:$CG$118,42,FALSE)</f>
        <v>216819.9</v>
      </c>
      <c r="AQ49" s="34">
        <f>VLOOKUP($A49,'[1]Init $$'!$B$3:$CG$118,43,FALSE)</f>
        <v>0</v>
      </c>
      <c r="AR49" s="43">
        <f>'Est gen ed 23 $$'!AR49/'Est gen ed 23 pos'!AR$123</f>
        <v>8.9999997364547628</v>
      </c>
      <c r="AS49" s="43">
        <f>'Est gen ed 23 $$'!AS49/'Est gen ed 23 pos'!AS$123</f>
        <v>0</v>
      </c>
      <c r="AT49" s="43">
        <f>'Est gen ed 23 $$'!AT49/'Est gen ed 23 pos'!AT$123</f>
        <v>0</v>
      </c>
      <c r="AU49" s="34">
        <f>VLOOKUP($A49,'[1]Init $$'!$B$3:$CG$118,47,FALSE)</f>
        <v>354796.2</v>
      </c>
      <c r="AV49" s="34">
        <f>VLOOKUP($A49,'[1]Init $$'!$B$3:$CG$118,48,FALSE)</f>
        <v>0</v>
      </c>
      <c r="AW49" s="34">
        <f>VLOOKUP($A49,'[1]Init $$'!$B$3:$CG$118,49,FALSE)</f>
        <v>0</v>
      </c>
      <c r="AX49" s="34">
        <f>VLOOKUP($A49,'[1]Init $$'!$B$3:$CG$118,50,FALSE)</f>
        <v>0</v>
      </c>
      <c r="AY49" s="34">
        <f>VLOOKUP($A49,'[1]Init $$'!$B$3:$CG$118,51,FALSE)</f>
        <v>0</v>
      </c>
      <c r="AZ49" s="34">
        <f>VLOOKUP($A49,'[1]Init $$'!$B$3:$CG$118,52,FALSE)</f>
        <v>0</v>
      </c>
      <c r="BA49" s="34">
        <f>VLOOKUP($A49,'[1]Init $$'!$B$3:$CG$118,53,FALSE)</f>
        <v>0</v>
      </c>
      <c r="BB49" s="34">
        <f>VLOOKUP($A49,'[1]Init $$'!$B$3:$CG$118,54,FALSE)</f>
        <v>0</v>
      </c>
      <c r="BC49" s="34">
        <f>VLOOKUP($A49,'[1]Init $$'!$B$3:$CG$118,55,FALSE)</f>
        <v>217338.36</v>
      </c>
      <c r="BD49" s="34">
        <f>VLOOKUP($A49,'[1]Init $$'!$B$3:$CG$118,56,FALSE)</f>
        <v>3500.78</v>
      </c>
      <c r="BE49" s="34">
        <f>VLOOKUP($A49,'[1]Init $$'!$B$3:$CG$118,57,FALSE)</f>
        <v>0</v>
      </c>
      <c r="BF49" s="43">
        <f>'Est gen ed 23 $$'!BF49/'Est gen ed 23 pos'!BF$123</f>
        <v>0</v>
      </c>
      <c r="BG49" s="43">
        <f>'Est gen ed 23 $$'!BG49/'Est gen ed 23 pos'!BG$123</f>
        <v>0</v>
      </c>
      <c r="BH49" s="34">
        <f>VLOOKUP($A49,'[1]Init $$'!$B$3:$CG$118,60,FALSE)</f>
        <v>0</v>
      </c>
      <c r="BI49" s="34">
        <f>VLOOKUP($A49,'[1]Init $$'!$B$3:$CG$118,61,FALSE)</f>
        <v>0</v>
      </c>
      <c r="BJ49" s="34">
        <f>VLOOKUP($A49,'[1]Init $$'!$B$3:$CG$118,62,FALSE)</f>
        <v>0</v>
      </c>
      <c r="BK49" s="43">
        <f>'Est gen ed 23 $$'!BK49/'Est gen ed 23 pos'!BK$123</f>
        <v>0</v>
      </c>
      <c r="BL49" s="34">
        <f>VLOOKUP($A49,'[1]Init $$'!$B$3:$CG$118,64,FALSE)</f>
        <v>0</v>
      </c>
      <c r="BM49" s="43">
        <f>'Est gen ed 23 $$'!BM49/'Est gen ed 23 pos'!BM$123</f>
        <v>0</v>
      </c>
      <c r="BN49" s="34">
        <f>VLOOKUP($A49,'[1]Init $$'!$B$3:$CG$118,66,FALSE)</f>
        <v>0</v>
      </c>
      <c r="BO49" s="43">
        <f>'Est gen ed 23 $$'!BO49/'Est gen ed 23 pos'!BO$123</f>
        <v>0</v>
      </c>
      <c r="BP49" s="34">
        <f>VLOOKUP($A49,'[1]Init $$'!$B$3:$CG$118,68,FALSE)</f>
        <v>0</v>
      </c>
      <c r="BQ49" s="43">
        <f>'Est gen ed 23 $$'!BQ49/'Est gen ed 23 pos'!BQ$123</f>
        <v>0</v>
      </c>
      <c r="BR49" s="43">
        <f>'Est gen ed 23 $$'!BR49/'Est gen ed 23 pos'!BR$123</f>
        <v>0</v>
      </c>
      <c r="BS49" s="34">
        <f>VLOOKUP($A49,'[1]Init $$'!$B$3:$CG$118,71,FALSE)</f>
        <v>0</v>
      </c>
      <c r="BT49" s="34">
        <f>VLOOKUP($A49,'[1]Init $$'!$B$3:$CG$118,72,FALSE)</f>
        <v>0</v>
      </c>
      <c r="BU49" s="34">
        <f>VLOOKUP($A49,'[1]Init $$'!$B$3:$CG$118,73,FALSE)</f>
        <v>0</v>
      </c>
      <c r="BV49" s="34">
        <f>VLOOKUP($A49,'[1]Init $$'!$B$3:$CG$118,74,FALSE)</f>
        <v>0</v>
      </c>
      <c r="BW49" s="34">
        <f>VLOOKUP($A49,'[1]Init $$'!$B$3:$CG$118,75,FALSE)</f>
        <v>0</v>
      </c>
      <c r="BX49" s="43">
        <f>'Est gen ed 23 $$'!BX49/'Est gen ed 23 pos'!BX$123</f>
        <v>0</v>
      </c>
      <c r="BY49" s="43">
        <f>'Est gen ed 23 $$'!BY49/'Est gen ed 23 pos'!BY$123</f>
        <v>0</v>
      </c>
      <c r="BZ49" s="43">
        <f>'Est gen ed 23 $$'!BZ49/'Est gen ed 23 pos'!BZ$123</f>
        <v>0</v>
      </c>
      <c r="CA49" s="34">
        <f>VLOOKUP($A49,'[1]Init $$'!$B$3:$CG$118,79,FALSE)</f>
        <v>818163.72</v>
      </c>
      <c r="CB49" s="34">
        <f>VLOOKUP($A49,'[1]Init $$'!$B$3:$CG$118,80,FALSE)</f>
        <v>101541</v>
      </c>
      <c r="CC49" s="34">
        <f>VLOOKUP($A49,'[1]Init $$'!$B$3:$CG$118,81,FALSE)</f>
        <v>0</v>
      </c>
      <c r="CD49" s="34">
        <f>VLOOKUP($A49,'[1]Init $$'!$B$3:$CG$118,82,FALSE)</f>
        <v>0</v>
      </c>
      <c r="CE49" s="34">
        <f>VLOOKUP($A49,'[1]Init $$'!$B$3:$CG$118,83,FALSE)</f>
        <v>0</v>
      </c>
      <c r="CF49" s="34">
        <f>VLOOKUP($A49,'[1]Init $$'!$B$3:$CG$118,84,FALSE)</f>
        <v>0</v>
      </c>
      <c r="CJ49" s="28">
        <f t="shared" si="2"/>
        <v>5192907.4599990454</v>
      </c>
      <c r="CK49" s="43">
        <f>'Est gen ed 23 $$'!CK49/'Est gen ed 23 pos'!CK$123</f>
        <v>0.99999604682144683</v>
      </c>
      <c r="CL49" s="43">
        <f>'Est gen ed 23 $$'!CL49/'Est gen ed 23 pos'!CL$123</f>
        <v>1.8333333333333333</v>
      </c>
      <c r="CM49" s="43">
        <f>'Est gen ed 23 $$'!CM49/'Est gen ed 23 pos'!CM$123</f>
        <v>1</v>
      </c>
      <c r="CN49" s="43">
        <f>'Est gen ed 23 $$'!CN49/'Est gen ed 23 pos'!CN$123</f>
        <v>0.72727272727272718</v>
      </c>
      <c r="CO49" s="43">
        <f>'Est gen ed 23 $$'!CO49/'Est gen ed 23 pos'!CO$123</f>
        <v>0</v>
      </c>
      <c r="CP49" s="43">
        <f>'Est gen ed 23 $$'!CP49/'Est gen ed 23 pos'!CP$123</f>
        <v>0</v>
      </c>
      <c r="CQ49" s="43">
        <f>'Est gen ed 23 $$'!CQ49/'Est gen ed 23 pos'!CQ$123</f>
        <v>0</v>
      </c>
      <c r="CR49" s="43">
        <f>'Est gen ed 23 $$'!CR49/'Est gen ed 23 pos'!CR$123</f>
        <v>0</v>
      </c>
      <c r="CS49" s="43">
        <f>'Est gen ed 23 $$'!CS49/'Est gen ed 23 pos'!CS$123</f>
        <v>0</v>
      </c>
      <c r="CT49" s="43">
        <f>'Est gen ed 23 $$'!CT49/'Est gen ed 23 pos'!CT$123</f>
        <v>0</v>
      </c>
      <c r="CU49" s="43">
        <f>'Est gen ed 23 $$'!CU49/'Est gen ed 23 pos'!CU$123</f>
        <v>29</v>
      </c>
      <c r="CZ49" s="43">
        <f>'Est gen ed 23 $$'!CW49/'Est gen ed 23 pos'!CZ$123</f>
        <v>0</v>
      </c>
      <c r="DB49" s="28">
        <f t="shared" si="3"/>
        <v>3285150</v>
      </c>
      <c r="DC49" s="28">
        <f t="shared" si="0"/>
        <v>0</v>
      </c>
      <c r="DK49" s="34"/>
      <c r="DL49" s="34"/>
    </row>
    <row r="50" spans="1:116" x14ac:dyDescent="0.2">
      <c r="A50">
        <v>339</v>
      </c>
      <c r="B50" t="s">
        <v>79</v>
      </c>
      <c r="C50" t="s">
        <v>7</v>
      </c>
      <c r="D50">
        <v>6</v>
      </c>
      <c r="E50">
        <f>VLOOKUP($A50,'[1]Init $$'!$B$3:$CG$118,4,FALSE)</f>
        <v>431</v>
      </c>
      <c r="F50">
        <f>VLOOKUP($A50,'[1]Init $$'!$B$3:$CG$118,6,FALSE)</f>
        <v>325</v>
      </c>
      <c r="G50">
        <f>VLOOKUP($A50,'[2]$$xSchpostCouncilxLevel'!$A$4:$EW$120,153,FALSE)</f>
        <v>333</v>
      </c>
      <c r="H50" s="50">
        <f t="shared" si="1"/>
        <v>-8</v>
      </c>
      <c r="I50" s="4">
        <f>VLOOKUP($A50,'[1]Init $$'!$B$3:$CG$118,8,FALSE)</f>
        <v>0.54988399071925753</v>
      </c>
      <c r="J50">
        <f>VLOOKUP($A50,'[1]Init $$'!$B$3:$CG$118,7,FALSE)</f>
        <v>237</v>
      </c>
      <c r="K50" s="43">
        <f>'Est gen ed 23 $$'!K50/'Est gen ed 23 pos'!K$123</f>
        <v>1</v>
      </c>
      <c r="L50" s="43">
        <f>'Est gen ed 23 $$'!L50/'Est gen ed 23 pos'!L$123</f>
        <v>0</v>
      </c>
      <c r="M50" s="43">
        <f>'Est gen ed 23 $$'!M50/'Est gen ed 23 pos'!M$123</f>
        <v>0</v>
      </c>
      <c r="N50" s="43">
        <f>'Est gen ed 23 $$'!N50/'Est gen ed 23 pos'!N$123</f>
        <v>1</v>
      </c>
      <c r="O50" s="34">
        <f>VLOOKUP($A50,'[1]Init $$'!$B$3:$CG$118,15,FALSE)</f>
        <v>7808.3</v>
      </c>
      <c r="P50" s="43">
        <f>'Est gen ed 23 $$'!P50/'Est gen ed 23 pos'!P$123</f>
        <v>1</v>
      </c>
      <c r="Q50" s="43">
        <f>'Est gen ed 23 $$'!Q50/'Est gen ed 23 pos'!Q$123</f>
        <v>1</v>
      </c>
      <c r="R50" s="43">
        <f>'Est gen ed 23 $$'!R50/'Est gen ed 23 pos'!R$123</f>
        <v>3.0000001953611113</v>
      </c>
      <c r="S50" s="43">
        <f>'Est gen ed 23 $$'!S50/'Est gen ed 23 pos'!S$123</f>
        <v>1</v>
      </c>
      <c r="T50" s="43">
        <f>'Est gen ed 23 $$'!T50/'Est gen ed 23 pos'!T$123</f>
        <v>2.9999999121515879</v>
      </c>
      <c r="U50" s="43">
        <f>'Est gen ed 23 $$'!U50/'Est gen ed 23 pos'!U$123</f>
        <v>1</v>
      </c>
      <c r="V50" s="43">
        <f>'Est gen ed 23 $$'!V50/'Est gen ed 23 pos'!V$123</f>
        <v>2.9999999121515879</v>
      </c>
      <c r="W50" s="43">
        <f>'Est gen ed 23 $$'!W50/'Est gen ed 23 pos'!W$123</f>
        <v>6.9999994893586166</v>
      </c>
      <c r="X50" s="34">
        <f>VLOOKUP($A50,'[1]Init $$'!$B$3:$CG$118,24,FALSE)</f>
        <v>189941.4</v>
      </c>
      <c r="Y50" s="34">
        <f>VLOOKUP($A50,'[1]Init $$'!$B$3:$CG$118,25,FALSE)</f>
        <v>0</v>
      </c>
      <c r="Z50" s="34">
        <f>VLOOKUP($A50,'[1]Init $$'!$B$3:$CG$118,26,FALSE)</f>
        <v>0</v>
      </c>
      <c r="AA50" s="34">
        <f>VLOOKUP($A50,'[1]Init $$'!$B$3:$CG$118,27,FALSE)</f>
        <v>0</v>
      </c>
      <c r="AB50" s="43">
        <f>'Est gen ed 23 $$'!AB50/'Est gen ed 23 pos'!AB$123</f>
        <v>0</v>
      </c>
      <c r="AC50" s="43">
        <f>'Est gen ed 23 $$'!AC50/'Est gen ed 23 pos'!AC$123</f>
        <v>0</v>
      </c>
      <c r="AD50" s="43">
        <f>'Est gen ed 23 $$'!AD50/'Est gen ed 23 pos'!AD$123</f>
        <v>0</v>
      </c>
      <c r="AE50" s="43">
        <f>'Est gen ed 23 $$'!AE50/'Est gen ed 23 pos'!AE$123</f>
        <v>0</v>
      </c>
      <c r="AF50" s="34">
        <f>VLOOKUP($A50,'[1]Init $$'!$B$3:$CG$118,32,FALSE)</f>
        <v>1941225</v>
      </c>
      <c r="AG50" s="34">
        <f>VLOOKUP($A50,'[1]Init $$'!$B$3:$CG$118,33,FALSE)</f>
        <v>140075</v>
      </c>
      <c r="AH50" s="43">
        <f>'Est gen ed 23 $$'!AH50/'Est gen ed 23 pos'!AH$123</f>
        <v>1</v>
      </c>
      <c r="AI50" s="43">
        <f>'Est gen ed 23 $$'!AI50/'Est gen ed 23 pos'!AI$123</f>
        <v>1.9999999121515879</v>
      </c>
      <c r="AJ50" s="43">
        <f>'Est gen ed 23 $$'!AJ50/'Est gen ed 23 pos'!AJ$123</f>
        <v>4.9999998243031758</v>
      </c>
      <c r="AK50" s="43">
        <f>'Est gen ed 23 $$'!AK50/'Est gen ed 23 pos'!AK$123</f>
        <v>4.9999998243031758</v>
      </c>
      <c r="AL50" s="43">
        <f>'Est gen ed 23 $$'!AL50/'Est gen ed 23 pos'!AL$123</f>
        <v>5.9999994893586166</v>
      </c>
      <c r="AM50" s="43">
        <f>'Est gen ed 23 $$'!AM50/'Est gen ed 23 pos'!AM$123</f>
        <v>0</v>
      </c>
      <c r="AN50" s="43">
        <f>'Est gen ed 23 $$'!AN50/'Est gen ed 23 pos'!AN$123</f>
        <v>0</v>
      </c>
      <c r="AO50" s="43">
        <f>'Est gen ed 23 $$'!AO50/'Est gen ed 23 pos'!AO$123</f>
        <v>0</v>
      </c>
      <c r="AP50" s="34">
        <f>VLOOKUP($A50,'[1]Init $$'!$B$3:$CG$118,42,FALSE)</f>
        <v>168438.6</v>
      </c>
      <c r="AQ50" s="34">
        <f>VLOOKUP($A50,'[1]Init $$'!$B$3:$CG$118,43,FALSE)</f>
        <v>0</v>
      </c>
      <c r="AR50" s="43">
        <f>'Est gen ed 23 $$'!AR50/'Est gen ed 23 pos'!AR$123</f>
        <v>1</v>
      </c>
      <c r="AS50" s="43">
        <f>'Est gen ed 23 $$'!AS50/'Est gen ed 23 pos'!AS$123</f>
        <v>0</v>
      </c>
      <c r="AT50" s="43">
        <f>'Est gen ed 23 $$'!AT50/'Est gen ed 23 pos'!AT$123</f>
        <v>0</v>
      </c>
      <c r="AU50" s="34">
        <f>VLOOKUP($A50,'[1]Init $$'!$B$3:$CG$118,47,FALSE)</f>
        <v>30462.3</v>
      </c>
      <c r="AV50" s="34">
        <f>VLOOKUP($A50,'[1]Init $$'!$B$3:$CG$118,48,FALSE)</f>
        <v>20400</v>
      </c>
      <c r="AW50" s="34">
        <f>VLOOKUP($A50,'[1]Init $$'!$B$3:$CG$118,49,FALSE)</f>
        <v>13600</v>
      </c>
      <c r="AX50" s="34">
        <f>VLOOKUP($A50,'[1]Init $$'!$B$3:$CG$118,50,FALSE)</f>
        <v>0</v>
      </c>
      <c r="AY50" s="34">
        <f>VLOOKUP($A50,'[1]Init $$'!$B$3:$CG$118,51,FALSE)</f>
        <v>0</v>
      </c>
      <c r="AZ50" s="34">
        <f>VLOOKUP($A50,'[1]Init $$'!$B$3:$CG$118,52,FALSE)</f>
        <v>20400</v>
      </c>
      <c r="BA50" s="34">
        <f>VLOOKUP($A50,'[1]Init $$'!$B$3:$CG$118,53,FALSE)</f>
        <v>10200</v>
      </c>
      <c r="BB50" s="34">
        <f>VLOOKUP($A50,'[1]Init $$'!$B$3:$CG$118,54,FALSE)</f>
        <v>13600</v>
      </c>
      <c r="BC50" s="34">
        <f>VLOOKUP($A50,'[1]Init $$'!$B$3:$CG$118,55,FALSE)</f>
        <v>195691.11</v>
      </c>
      <c r="BD50" s="34">
        <f>VLOOKUP($A50,'[1]Init $$'!$B$3:$CG$118,56,FALSE)</f>
        <v>3152.1</v>
      </c>
      <c r="BE50" s="34">
        <f>VLOOKUP($A50,'[1]Init $$'!$B$3:$CG$118,57,FALSE)</f>
        <v>0</v>
      </c>
      <c r="BF50" s="43">
        <f>'Est gen ed 23 $$'!BF50/'Est gen ed 23 pos'!BF$123</f>
        <v>0</v>
      </c>
      <c r="BG50" s="43">
        <f>'Est gen ed 23 $$'!BG50/'Est gen ed 23 pos'!BG$123</f>
        <v>0</v>
      </c>
      <c r="BH50" s="34">
        <f>VLOOKUP($A50,'[1]Init $$'!$B$3:$CG$118,60,FALSE)</f>
        <v>0</v>
      </c>
      <c r="BI50" s="34">
        <f>VLOOKUP($A50,'[1]Init $$'!$B$3:$CG$118,61,FALSE)</f>
        <v>0</v>
      </c>
      <c r="BJ50" s="34">
        <f>VLOOKUP($A50,'[1]Init $$'!$B$3:$CG$118,62,FALSE)</f>
        <v>0</v>
      </c>
      <c r="BK50" s="43">
        <f>'Est gen ed 23 $$'!BK50/'Est gen ed 23 pos'!BK$123</f>
        <v>0</v>
      </c>
      <c r="BL50" s="34">
        <f>VLOOKUP($A50,'[1]Init $$'!$B$3:$CG$118,64,FALSE)</f>
        <v>0</v>
      </c>
      <c r="BM50" s="43">
        <f>'Est gen ed 23 $$'!BM50/'Est gen ed 23 pos'!BM$123</f>
        <v>0</v>
      </c>
      <c r="BN50" s="34">
        <f>VLOOKUP($A50,'[1]Init $$'!$B$3:$CG$118,66,FALSE)</f>
        <v>0</v>
      </c>
      <c r="BO50" s="43">
        <f>'Est gen ed 23 $$'!BO50/'Est gen ed 23 pos'!BO$123</f>
        <v>0</v>
      </c>
      <c r="BP50" s="34">
        <f>VLOOKUP($A50,'[1]Init $$'!$B$3:$CG$118,68,FALSE)</f>
        <v>0</v>
      </c>
      <c r="BQ50" s="43">
        <f>'Est gen ed 23 $$'!BQ50/'Est gen ed 23 pos'!BQ$123</f>
        <v>0</v>
      </c>
      <c r="BR50" s="43">
        <f>'Est gen ed 23 $$'!BR50/'Est gen ed 23 pos'!BR$123</f>
        <v>0</v>
      </c>
      <c r="BS50" s="34">
        <f>VLOOKUP($A50,'[1]Init $$'!$B$3:$CG$118,71,FALSE)</f>
        <v>0</v>
      </c>
      <c r="BT50" s="34">
        <f>VLOOKUP($A50,'[1]Init $$'!$B$3:$CG$118,72,FALSE)</f>
        <v>0</v>
      </c>
      <c r="BU50" s="34">
        <f>VLOOKUP($A50,'[1]Init $$'!$B$3:$CG$118,73,FALSE)</f>
        <v>0</v>
      </c>
      <c r="BV50" s="34">
        <f>VLOOKUP($A50,'[1]Init $$'!$B$3:$CG$118,74,FALSE)</f>
        <v>0</v>
      </c>
      <c r="BW50" s="34">
        <f>VLOOKUP($A50,'[1]Init $$'!$B$3:$CG$118,75,FALSE)</f>
        <v>0</v>
      </c>
      <c r="BX50" s="43">
        <f>'Est gen ed 23 $$'!BX50/'Est gen ed 23 pos'!BX$123</f>
        <v>0</v>
      </c>
      <c r="BY50" s="43">
        <f>'Est gen ed 23 $$'!BY50/'Est gen ed 23 pos'!BY$123</f>
        <v>0</v>
      </c>
      <c r="BZ50" s="43">
        <f>'Est gen ed 23 $$'!BZ50/'Est gen ed 23 pos'!BZ$123</f>
        <v>0</v>
      </c>
      <c r="CA50" s="34">
        <f>VLOOKUP($A50,'[1]Init $$'!$B$3:$CG$118,79,FALSE)</f>
        <v>635753.44999999995</v>
      </c>
      <c r="CB50" s="34">
        <f>VLOOKUP($A50,'[1]Init $$'!$B$3:$CG$118,80,FALSE)</f>
        <v>77171.16</v>
      </c>
      <c r="CC50" s="34">
        <f>VLOOKUP($A50,'[1]Init $$'!$B$3:$CG$118,81,FALSE)</f>
        <v>0</v>
      </c>
      <c r="CD50" s="34">
        <f>VLOOKUP($A50,'[1]Init $$'!$B$3:$CG$118,82,FALSE)</f>
        <v>0</v>
      </c>
      <c r="CE50" s="34">
        <f>VLOOKUP($A50,'[1]Init $$'!$B$3:$CG$118,83,FALSE)</f>
        <v>252347.88</v>
      </c>
      <c r="CF50" s="34">
        <f>VLOOKUP($A50,'[1]Init $$'!$B$3:$CG$118,84,FALSE)</f>
        <v>0</v>
      </c>
      <c r="CJ50" s="28">
        <f t="shared" si="2"/>
        <v>3720308.2999985591</v>
      </c>
      <c r="CK50" s="43">
        <f>'Est gen ed 23 $$'!CK50/'Est gen ed 23 pos'!CK$123</f>
        <v>0.99999604682144683</v>
      </c>
      <c r="CL50" s="43">
        <f>'Est gen ed 23 $$'!CL50/'Est gen ed 23 pos'!CL$123</f>
        <v>1.0774999999999999</v>
      </c>
      <c r="CM50" s="43">
        <f>'Est gen ed 23 $$'!CM50/'Est gen ed 23 pos'!CM$123</f>
        <v>1</v>
      </c>
      <c r="CN50" s="43">
        <f>'Est gen ed 23 $$'!CN50/'Est gen ed 23 pos'!CN$123</f>
        <v>0.92807424593967514</v>
      </c>
      <c r="CO50" s="43">
        <f>'Est gen ed 23 $$'!CO50/'Est gen ed 23 pos'!CO$123</f>
        <v>0</v>
      </c>
      <c r="CP50" s="43">
        <f>'Est gen ed 23 $$'!CP50/'Est gen ed 23 pos'!CP$123</f>
        <v>0</v>
      </c>
      <c r="CQ50" s="43">
        <f>'Est gen ed 23 $$'!CQ50/'Est gen ed 23 pos'!CQ$123</f>
        <v>1.4999940702321701</v>
      </c>
      <c r="CR50" s="43">
        <f>'Est gen ed 23 $$'!CR50/'Est gen ed 23 pos'!CR$123</f>
        <v>1.4999940702321701</v>
      </c>
      <c r="CS50" s="43">
        <f>'Est gen ed 23 $$'!CS50/'Est gen ed 23 pos'!CS$123</f>
        <v>1.9999920936428937</v>
      </c>
      <c r="CT50" s="43">
        <f>'Est gen ed 23 $$'!CT50/'Est gen ed 23 pos'!CT$123</f>
        <v>3</v>
      </c>
      <c r="CU50" s="43">
        <f>'Est gen ed 23 $$'!CU50/'Est gen ed 23 pos'!CU$123</f>
        <v>18</v>
      </c>
      <c r="CZ50" s="43">
        <f>'Est gen ed 23 $$'!CW50/'Est gen ed 23 pos'!CZ$123</f>
        <v>0</v>
      </c>
      <c r="DB50" s="28">
        <f t="shared" si="3"/>
        <v>1941225</v>
      </c>
      <c r="DC50" s="28">
        <f t="shared" si="0"/>
        <v>252347.88</v>
      </c>
      <c r="DK50" s="34"/>
      <c r="DL50" s="34"/>
    </row>
    <row r="51" spans="1:116" x14ac:dyDescent="0.2">
      <c r="A51">
        <v>254</v>
      </c>
      <c r="B51" t="s">
        <v>78</v>
      </c>
      <c r="C51" t="s">
        <v>7</v>
      </c>
      <c r="D51">
        <v>3</v>
      </c>
      <c r="E51">
        <f>VLOOKUP($A51,'[1]Init $$'!$B$3:$CG$118,4,FALSE)</f>
        <v>678</v>
      </c>
      <c r="F51">
        <f>VLOOKUP($A51,'[1]Init $$'!$B$3:$CG$118,6,FALSE)</f>
        <v>600</v>
      </c>
      <c r="G51">
        <f>VLOOKUP($A51,'[2]$$xSchpostCouncilxLevel'!$A$4:$EW$120,153,FALSE)</f>
        <v>660</v>
      </c>
      <c r="H51" s="50">
        <f t="shared" si="1"/>
        <v>-60</v>
      </c>
      <c r="I51" s="4">
        <f>VLOOKUP($A51,'[1]Init $$'!$B$3:$CG$118,8,FALSE)</f>
        <v>2.0648967551622419E-2</v>
      </c>
      <c r="J51">
        <f>VLOOKUP($A51,'[1]Init $$'!$B$3:$CG$118,7,FALSE)</f>
        <v>14</v>
      </c>
      <c r="K51" s="43">
        <f>'Est gen ed 23 $$'!K51/'Est gen ed 23 pos'!K$123</f>
        <v>1</v>
      </c>
      <c r="L51" s="43">
        <f>'Est gen ed 23 $$'!L51/'Est gen ed 23 pos'!L$123</f>
        <v>0</v>
      </c>
      <c r="M51" s="43">
        <f>'Est gen ed 23 $$'!M51/'Est gen ed 23 pos'!M$123</f>
        <v>0</v>
      </c>
      <c r="N51" s="43">
        <f>'Est gen ed 23 $$'!N51/'Est gen ed 23 pos'!N$123</f>
        <v>1</v>
      </c>
      <c r="O51" s="34">
        <f>VLOOKUP($A51,'[1]Init $$'!$B$3:$CG$118,15,FALSE)</f>
        <v>7260</v>
      </c>
      <c r="P51" s="43">
        <f>'Est gen ed 23 $$'!P51/'Est gen ed 23 pos'!P$123</f>
        <v>1</v>
      </c>
      <c r="Q51" s="43">
        <f>'Est gen ed 23 $$'!Q51/'Est gen ed 23 pos'!Q$123</f>
        <v>1</v>
      </c>
      <c r="R51" s="43">
        <f>'Est gen ed 23 $$'!R51/'Est gen ed 23 pos'!R$123</f>
        <v>3.0000001953611113</v>
      </c>
      <c r="S51" s="43">
        <f>'Est gen ed 23 $$'!S51/'Est gen ed 23 pos'!S$123</f>
        <v>1</v>
      </c>
      <c r="T51" s="43">
        <f>'Est gen ed 23 $$'!T51/'Est gen ed 23 pos'!T$123</f>
        <v>0</v>
      </c>
      <c r="U51" s="43">
        <f>'Est gen ed 23 $$'!U51/'Est gen ed 23 pos'!U$123</f>
        <v>0</v>
      </c>
      <c r="V51" s="43">
        <f>'Est gen ed 23 $$'!V51/'Est gen ed 23 pos'!V$123</f>
        <v>3.9999998243031758</v>
      </c>
      <c r="W51" s="43">
        <f>'Est gen ed 23 $$'!W51/'Est gen ed 23 pos'!W$123</f>
        <v>3.9999997446793079</v>
      </c>
      <c r="X51" s="34">
        <f>VLOOKUP($A51,'[1]Init $$'!$B$3:$CG$118,24,FALSE)</f>
        <v>139768.20000000001</v>
      </c>
      <c r="Y51" s="34">
        <f>VLOOKUP($A51,'[1]Init $$'!$B$3:$CG$118,25,FALSE)</f>
        <v>0</v>
      </c>
      <c r="Z51" s="34">
        <f>VLOOKUP($A51,'[1]Init $$'!$B$3:$CG$118,26,FALSE)</f>
        <v>0</v>
      </c>
      <c r="AA51" s="34">
        <f>VLOOKUP($A51,'[1]Init $$'!$B$3:$CG$118,27,FALSE)</f>
        <v>0</v>
      </c>
      <c r="AB51" s="43">
        <f>'Est gen ed 23 $$'!AB51/'Est gen ed 23 pos'!AB$123</f>
        <v>0</v>
      </c>
      <c r="AC51" s="43">
        <f>'Est gen ed 23 $$'!AC51/'Est gen ed 23 pos'!AC$123</f>
        <v>0</v>
      </c>
      <c r="AD51" s="43">
        <f>'Est gen ed 23 $$'!AD51/'Est gen ed 23 pos'!AD$123</f>
        <v>0</v>
      </c>
      <c r="AE51" s="43">
        <f>'Est gen ed 23 $$'!AE51/'Est gen ed 23 pos'!AE$123</f>
        <v>0</v>
      </c>
      <c r="AF51" s="34">
        <f>VLOOKUP($A51,'[1]Init $$'!$B$3:$CG$118,32,FALSE)</f>
        <v>3583800</v>
      </c>
      <c r="AG51" s="34">
        <f>VLOOKUP($A51,'[1]Init $$'!$B$3:$CG$118,33,FALSE)</f>
        <v>220350</v>
      </c>
      <c r="AH51" s="43">
        <f>'Est gen ed 23 $$'!AH51/'Est gen ed 23 pos'!AH$123</f>
        <v>1</v>
      </c>
      <c r="AI51" s="43">
        <f>'Est gen ed 23 $$'!AI51/'Est gen ed 23 pos'!AI$123</f>
        <v>1</v>
      </c>
      <c r="AJ51" s="43">
        <f>'Est gen ed 23 $$'!AJ51/'Est gen ed 23 pos'!AJ$123</f>
        <v>4.9999998243031758</v>
      </c>
      <c r="AK51" s="43">
        <f>'Est gen ed 23 $$'!AK51/'Est gen ed 23 pos'!AK$123</f>
        <v>0</v>
      </c>
      <c r="AL51" s="43">
        <f>'Est gen ed 23 $$'!AL51/'Est gen ed 23 pos'!AL$123</f>
        <v>0</v>
      </c>
      <c r="AM51" s="43">
        <f>'Est gen ed 23 $$'!AM51/'Est gen ed 23 pos'!AM$123</f>
        <v>0</v>
      </c>
      <c r="AN51" s="43">
        <f>'Est gen ed 23 $$'!AN51/'Est gen ed 23 pos'!AN$123</f>
        <v>0</v>
      </c>
      <c r="AO51" s="43">
        <f>'Est gen ed 23 $$'!AO51/'Est gen ed 23 pos'!AO$123</f>
        <v>0</v>
      </c>
      <c r="AP51" s="34">
        <f>VLOOKUP($A51,'[1]Init $$'!$B$3:$CG$118,42,FALSE)</f>
        <v>98554.5</v>
      </c>
      <c r="AQ51" s="34">
        <f>VLOOKUP($A51,'[1]Init $$'!$B$3:$CG$118,43,FALSE)</f>
        <v>0</v>
      </c>
      <c r="AR51" s="43">
        <f>'Est gen ed 23 $$'!AR51/'Est gen ed 23 pos'!AR$123</f>
        <v>1</v>
      </c>
      <c r="AS51" s="43">
        <f>'Est gen ed 23 $$'!AS51/'Est gen ed 23 pos'!AS$123</f>
        <v>0</v>
      </c>
      <c r="AT51" s="43">
        <f>'Est gen ed 23 $$'!AT51/'Est gen ed 23 pos'!AT$123</f>
        <v>0</v>
      </c>
      <c r="AU51" s="34">
        <f>VLOOKUP($A51,'[1]Init $$'!$B$3:$CG$118,47,FALSE)</f>
        <v>30462.3</v>
      </c>
      <c r="AV51" s="34">
        <f>VLOOKUP($A51,'[1]Init $$'!$B$3:$CG$118,48,FALSE)</f>
        <v>0</v>
      </c>
      <c r="AW51" s="34">
        <f>VLOOKUP($A51,'[1]Init $$'!$B$3:$CG$118,49,FALSE)</f>
        <v>0</v>
      </c>
      <c r="AX51" s="34">
        <f>VLOOKUP($A51,'[1]Init $$'!$B$3:$CG$118,50,FALSE)</f>
        <v>0</v>
      </c>
      <c r="AY51" s="34">
        <f>VLOOKUP($A51,'[1]Init $$'!$B$3:$CG$118,51,FALSE)</f>
        <v>0</v>
      </c>
      <c r="AZ51" s="34">
        <f>VLOOKUP($A51,'[1]Init $$'!$B$3:$CG$118,52,FALSE)</f>
        <v>0</v>
      </c>
      <c r="BA51" s="34">
        <f>VLOOKUP($A51,'[1]Init $$'!$B$3:$CG$118,53,FALSE)</f>
        <v>0</v>
      </c>
      <c r="BB51" s="34">
        <f>VLOOKUP($A51,'[1]Init $$'!$B$3:$CG$118,54,FALSE)</f>
        <v>0</v>
      </c>
      <c r="BC51" s="34">
        <f>VLOOKUP($A51,'[1]Init $$'!$B$3:$CG$118,55,FALSE)</f>
        <v>0</v>
      </c>
      <c r="BD51" s="34">
        <f>VLOOKUP($A51,'[1]Init $$'!$B$3:$CG$118,56,FALSE)</f>
        <v>0</v>
      </c>
      <c r="BE51" s="34">
        <f>VLOOKUP($A51,'[1]Init $$'!$B$3:$CG$118,57,FALSE)</f>
        <v>16950</v>
      </c>
      <c r="BF51" s="43">
        <f>'Est gen ed 23 $$'!BF51/'Est gen ed 23 pos'!BF$123</f>
        <v>0</v>
      </c>
      <c r="BG51" s="43">
        <f>'Est gen ed 23 $$'!BG51/'Est gen ed 23 pos'!BG$123</f>
        <v>0</v>
      </c>
      <c r="BH51" s="34">
        <f>VLOOKUP($A51,'[1]Init $$'!$B$3:$CG$118,60,FALSE)</f>
        <v>0</v>
      </c>
      <c r="BI51" s="34">
        <f>VLOOKUP($A51,'[1]Init $$'!$B$3:$CG$118,61,FALSE)</f>
        <v>0</v>
      </c>
      <c r="BJ51" s="34">
        <f>VLOOKUP($A51,'[1]Init $$'!$B$3:$CG$118,62,FALSE)</f>
        <v>0</v>
      </c>
      <c r="BK51" s="43">
        <f>'Est gen ed 23 $$'!BK51/'Est gen ed 23 pos'!BK$123</f>
        <v>0</v>
      </c>
      <c r="BL51" s="34">
        <f>VLOOKUP($A51,'[1]Init $$'!$B$3:$CG$118,64,FALSE)</f>
        <v>0</v>
      </c>
      <c r="BM51" s="43">
        <f>'Est gen ed 23 $$'!BM51/'Est gen ed 23 pos'!BM$123</f>
        <v>0</v>
      </c>
      <c r="BN51" s="34">
        <f>VLOOKUP($A51,'[1]Init $$'!$B$3:$CG$118,66,FALSE)</f>
        <v>0</v>
      </c>
      <c r="BO51" s="43">
        <f>'Est gen ed 23 $$'!BO51/'Est gen ed 23 pos'!BO$123</f>
        <v>0</v>
      </c>
      <c r="BP51" s="34">
        <f>VLOOKUP($A51,'[1]Init $$'!$B$3:$CG$118,68,FALSE)</f>
        <v>0</v>
      </c>
      <c r="BQ51" s="43">
        <f>'Est gen ed 23 $$'!BQ51/'Est gen ed 23 pos'!BQ$123</f>
        <v>0</v>
      </c>
      <c r="BR51" s="43">
        <f>'Est gen ed 23 $$'!BR51/'Est gen ed 23 pos'!BR$123</f>
        <v>0</v>
      </c>
      <c r="BS51" s="34">
        <f>VLOOKUP($A51,'[1]Init $$'!$B$3:$CG$118,71,FALSE)</f>
        <v>0</v>
      </c>
      <c r="BT51" s="34">
        <f>VLOOKUP($A51,'[1]Init $$'!$B$3:$CG$118,72,FALSE)</f>
        <v>0</v>
      </c>
      <c r="BU51" s="34">
        <f>VLOOKUP($A51,'[1]Init $$'!$B$3:$CG$118,73,FALSE)</f>
        <v>0</v>
      </c>
      <c r="BV51" s="34">
        <f>VLOOKUP($A51,'[1]Init $$'!$B$3:$CG$118,74,FALSE)</f>
        <v>0</v>
      </c>
      <c r="BW51" s="34">
        <f>VLOOKUP($A51,'[1]Init $$'!$B$3:$CG$118,75,FALSE)</f>
        <v>0</v>
      </c>
      <c r="BX51" s="43">
        <f>'Est gen ed 23 $$'!BX51/'Est gen ed 23 pos'!BX$123</f>
        <v>0</v>
      </c>
      <c r="BY51" s="43">
        <f>'Est gen ed 23 $$'!BY51/'Est gen ed 23 pos'!BY$123</f>
        <v>0</v>
      </c>
      <c r="BZ51" s="43">
        <f>'Est gen ed 23 $$'!BZ51/'Est gen ed 23 pos'!BZ$123</f>
        <v>0</v>
      </c>
      <c r="CA51" s="34">
        <f>VLOOKUP($A51,'[1]Init $$'!$B$3:$CG$118,79,FALSE)</f>
        <v>37555.06</v>
      </c>
      <c r="CB51" s="34">
        <f>VLOOKUP($A51,'[1]Init $$'!$B$3:$CG$118,80,FALSE)</f>
        <v>0</v>
      </c>
      <c r="CC51" s="34">
        <f>VLOOKUP($A51,'[1]Init $$'!$B$3:$CG$118,81,FALSE)</f>
        <v>392033.87</v>
      </c>
      <c r="CD51" s="34">
        <f>VLOOKUP($A51,'[1]Init $$'!$B$3:$CG$118,82,FALSE)</f>
        <v>290737.96000000002</v>
      </c>
      <c r="CE51" s="34">
        <f>VLOOKUP($A51,'[1]Init $$'!$B$3:$CG$118,83,FALSE)</f>
        <v>59158.239999999998</v>
      </c>
      <c r="CF51" s="34">
        <f>VLOOKUP($A51,'[1]Init $$'!$B$3:$CG$118,84,FALSE)</f>
        <v>1054749.3799999999</v>
      </c>
      <c r="CJ51" s="28">
        <f t="shared" si="2"/>
        <v>5931403.5099995891</v>
      </c>
      <c r="CK51" s="43">
        <f>'Est gen ed 23 $$'!CK51/'Est gen ed 23 pos'!CK$123</f>
        <v>0.99999604682144683</v>
      </c>
      <c r="CL51" s="43">
        <f>'Est gen ed 23 $$'!CL51/'Est gen ed 23 pos'!CL$123</f>
        <v>1.6950000000000001</v>
      </c>
      <c r="CM51" s="43">
        <f>'Est gen ed 23 $$'!CM51/'Est gen ed 23 pos'!CM$123</f>
        <v>1</v>
      </c>
      <c r="CN51" s="43">
        <f>'Est gen ed 23 $$'!CN51/'Est gen ed 23 pos'!CN$123</f>
        <v>0.58997050147492625</v>
      </c>
      <c r="CO51" s="43">
        <f>'Est gen ed 23 $$'!CO51/'Est gen ed 23 pos'!CO$123</f>
        <v>0</v>
      </c>
      <c r="CP51" s="43">
        <f>'Est gen ed 23 $$'!CP51/'Est gen ed 23 pos'!CP$123</f>
        <v>0</v>
      </c>
      <c r="CQ51" s="43">
        <f>'Est gen ed 23 $$'!CQ51/'Est gen ed 23 pos'!CQ$123</f>
        <v>1.4999940702321701</v>
      </c>
      <c r="CR51" s="43">
        <f>'Est gen ed 23 $$'!CR51/'Est gen ed 23 pos'!CR$123</f>
        <v>1.4999940702321701</v>
      </c>
      <c r="CS51" s="43">
        <f>'Est gen ed 23 $$'!CS51/'Est gen ed 23 pos'!CS$123</f>
        <v>2.9999881404643403</v>
      </c>
      <c r="CT51" s="43">
        <f>'Est gen ed 23 $$'!CT51/'Est gen ed 23 pos'!CT$123</f>
        <v>5</v>
      </c>
      <c r="CU51" s="43">
        <f>'Est gen ed 23 $$'!CU51/'Est gen ed 23 pos'!CU$123</f>
        <v>30</v>
      </c>
      <c r="CZ51" s="43">
        <f>'Est gen ed 23 $$'!CW51/'Est gen ed 23 pos'!CZ$123</f>
        <v>0</v>
      </c>
      <c r="DB51" s="28">
        <f t="shared" si="3"/>
        <v>3583800</v>
      </c>
      <c r="DC51" s="28">
        <f t="shared" si="0"/>
        <v>1796679.45</v>
      </c>
      <c r="DK51" s="34"/>
      <c r="DL51" s="34"/>
    </row>
    <row r="52" spans="1:116" x14ac:dyDescent="0.2">
      <c r="A52">
        <v>433</v>
      </c>
      <c r="B52" t="s">
        <v>77</v>
      </c>
      <c r="C52" t="s">
        <v>19</v>
      </c>
      <c r="D52">
        <v>6</v>
      </c>
      <c r="E52">
        <f>VLOOKUP($A52,'[1]Init $$'!$B$3:$CG$118,4,FALSE)</f>
        <v>389</v>
      </c>
      <c r="F52">
        <f>VLOOKUP($A52,'[1]Init $$'!$B$3:$CG$118,6,FALSE)</f>
        <v>389</v>
      </c>
      <c r="G52">
        <f>VLOOKUP($A52,'[2]$$xSchpostCouncilxLevel'!$A$4:$EW$120,153,FALSE)</f>
        <v>389</v>
      </c>
      <c r="H52" s="50">
        <f t="shared" si="1"/>
        <v>0</v>
      </c>
      <c r="I52" s="4">
        <f>VLOOKUP($A52,'[1]Init $$'!$B$3:$CG$118,8,FALSE)</f>
        <v>0.54755784061696655</v>
      </c>
      <c r="J52">
        <f>VLOOKUP($A52,'[1]Init $$'!$B$3:$CG$118,7,FALSE)</f>
        <v>213</v>
      </c>
      <c r="K52" s="43">
        <f>'Est gen ed 23 $$'!K52/'Est gen ed 23 pos'!K$123</f>
        <v>1</v>
      </c>
      <c r="L52" s="43">
        <f>'Est gen ed 23 $$'!L52/'Est gen ed 23 pos'!L$123</f>
        <v>1</v>
      </c>
      <c r="M52" s="43">
        <f>'Est gen ed 23 $$'!M52/'Est gen ed 23 pos'!M$123</f>
        <v>0</v>
      </c>
      <c r="N52" s="43">
        <f>'Est gen ed 23 $$'!N52/'Est gen ed 23 pos'!N$123</f>
        <v>1</v>
      </c>
      <c r="O52" s="34">
        <f>VLOOKUP($A52,'[1]Init $$'!$B$3:$CG$118,15,FALSE)</f>
        <v>6716.6</v>
      </c>
      <c r="P52" s="43">
        <f>'Est gen ed 23 $$'!P52/'Est gen ed 23 pos'!P$123</f>
        <v>1</v>
      </c>
      <c r="Q52" s="43">
        <f>'Est gen ed 23 $$'!Q52/'Est gen ed 23 pos'!Q$123</f>
        <v>1</v>
      </c>
      <c r="R52" s="43">
        <f>'Est gen ed 23 $$'!R52/'Est gen ed 23 pos'!R$123</f>
        <v>2.0000001953611113</v>
      </c>
      <c r="S52" s="43">
        <f>'Est gen ed 23 $$'!S52/'Est gen ed 23 pos'!S$123</f>
        <v>1</v>
      </c>
      <c r="T52" s="43">
        <f>'Est gen ed 23 $$'!T52/'Est gen ed 23 pos'!T$123</f>
        <v>0</v>
      </c>
      <c r="U52" s="43">
        <f>'Est gen ed 23 $$'!U52/'Est gen ed 23 pos'!U$123</f>
        <v>0</v>
      </c>
      <c r="V52" s="43">
        <f>'Est gen ed 23 $$'!V52/'Est gen ed 23 pos'!V$123</f>
        <v>0</v>
      </c>
      <c r="W52" s="43">
        <f>'Est gen ed 23 $$'!W52/'Est gen ed 23 pos'!W$123</f>
        <v>0</v>
      </c>
      <c r="X52" s="34">
        <f>VLOOKUP($A52,'[1]Init $$'!$B$3:$CG$118,24,FALSE)</f>
        <v>0</v>
      </c>
      <c r="Y52" s="34">
        <f>VLOOKUP($A52,'[1]Init $$'!$B$3:$CG$118,25,FALSE)</f>
        <v>0</v>
      </c>
      <c r="Z52" s="34">
        <f>VLOOKUP($A52,'[1]Init $$'!$B$3:$CG$118,26,FALSE)</f>
        <v>0</v>
      </c>
      <c r="AA52" s="34">
        <f>VLOOKUP($A52,'[1]Init $$'!$B$3:$CG$118,27,FALSE)</f>
        <v>0</v>
      </c>
      <c r="AB52" s="43">
        <f>'Est gen ed 23 $$'!AB52/'Est gen ed 23 pos'!AB$123</f>
        <v>0</v>
      </c>
      <c r="AC52" s="43">
        <f>'Est gen ed 23 $$'!AC52/'Est gen ed 23 pos'!AC$123</f>
        <v>0</v>
      </c>
      <c r="AD52" s="43">
        <f>'Est gen ed 23 $$'!AD52/'Est gen ed 23 pos'!AD$123</f>
        <v>0</v>
      </c>
      <c r="AE52" s="43">
        <f>'Est gen ed 23 $$'!AE52/'Est gen ed 23 pos'!AE$123</f>
        <v>0</v>
      </c>
      <c r="AF52" s="34">
        <f>VLOOKUP($A52,'[1]Init $$'!$B$3:$CG$118,32,FALSE)</f>
        <v>2323497</v>
      </c>
      <c r="AG52" s="34">
        <f>VLOOKUP($A52,'[1]Init $$'!$B$3:$CG$118,33,FALSE)</f>
        <v>133038</v>
      </c>
      <c r="AH52" s="43">
        <f>'Est gen ed 23 $$'!AH52/'Est gen ed 23 pos'!AH$123</f>
        <v>1</v>
      </c>
      <c r="AI52" s="43">
        <f>'Est gen ed 23 $$'!AI52/'Est gen ed 23 pos'!AI$123</f>
        <v>2.9999999121515879</v>
      </c>
      <c r="AJ52" s="43">
        <f>'Est gen ed 23 $$'!AJ52/'Est gen ed 23 pos'!AJ$123</f>
        <v>5.9999998243031758</v>
      </c>
      <c r="AK52" s="43">
        <f>'Est gen ed 23 $$'!AK52/'Est gen ed 23 pos'!AK$123</f>
        <v>2.9999999121515879</v>
      </c>
      <c r="AL52" s="43">
        <f>'Est gen ed 23 $$'!AL52/'Est gen ed 23 pos'!AL$123</f>
        <v>2.9999997446793083</v>
      </c>
      <c r="AM52" s="43">
        <f>'Est gen ed 23 $$'!AM52/'Est gen ed 23 pos'!AM$123</f>
        <v>0</v>
      </c>
      <c r="AN52" s="43">
        <f>'Est gen ed 23 $$'!AN52/'Est gen ed 23 pos'!AN$123</f>
        <v>1.0000010424267696</v>
      </c>
      <c r="AO52" s="43">
        <f>'Est gen ed 23 $$'!AO52/'Est gen ed 23 pos'!AO$123</f>
        <v>0</v>
      </c>
      <c r="AP52" s="34">
        <f>VLOOKUP($A52,'[1]Init $$'!$B$3:$CG$118,42,FALSE)</f>
        <v>175606.2</v>
      </c>
      <c r="AQ52" s="34">
        <f>VLOOKUP($A52,'[1]Init $$'!$B$3:$CG$118,43,FALSE)</f>
        <v>0</v>
      </c>
      <c r="AR52" s="43">
        <f>'Est gen ed 23 $$'!AR52/'Est gen ed 23 pos'!AR$123</f>
        <v>1</v>
      </c>
      <c r="AS52" s="43">
        <f>'Est gen ed 23 $$'!AS52/'Est gen ed 23 pos'!AS$123</f>
        <v>0</v>
      </c>
      <c r="AT52" s="43">
        <f>'Est gen ed 23 $$'!AT52/'Est gen ed 23 pos'!AT$123</f>
        <v>0</v>
      </c>
      <c r="AU52" s="34">
        <f>VLOOKUP($A52,'[1]Init $$'!$B$3:$CG$118,47,FALSE)</f>
        <v>19710.900000000001</v>
      </c>
      <c r="AV52" s="34">
        <f>VLOOKUP($A52,'[1]Init $$'!$B$3:$CG$118,48,FALSE)</f>
        <v>13600</v>
      </c>
      <c r="AW52" s="34">
        <f>VLOOKUP($A52,'[1]Init $$'!$B$3:$CG$118,49,FALSE)</f>
        <v>13600</v>
      </c>
      <c r="AX52" s="34">
        <f>VLOOKUP($A52,'[1]Init $$'!$B$3:$CG$118,50,FALSE)</f>
        <v>10200</v>
      </c>
      <c r="AY52" s="34">
        <f>VLOOKUP($A52,'[1]Init $$'!$B$3:$CG$118,51,FALSE)</f>
        <v>0</v>
      </c>
      <c r="AZ52" s="34">
        <f>VLOOKUP($A52,'[1]Init $$'!$B$3:$CG$118,52,FALSE)</f>
        <v>6800</v>
      </c>
      <c r="BA52" s="34">
        <f>VLOOKUP($A52,'[1]Init $$'!$B$3:$CG$118,53,FALSE)</f>
        <v>0</v>
      </c>
      <c r="BB52" s="34">
        <f>VLOOKUP($A52,'[1]Init $$'!$B$3:$CG$118,54,FALSE)</f>
        <v>6800</v>
      </c>
      <c r="BC52" s="34">
        <f>VLOOKUP($A52,'[1]Init $$'!$B$3:$CG$118,55,FALSE)</f>
        <v>160189.63</v>
      </c>
      <c r="BD52" s="34">
        <f>VLOOKUP($A52,'[1]Init $$'!$B$3:$CG$118,56,FALSE)</f>
        <v>2580.2600000000002</v>
      </c>
      <c r="BE52" s="34">
        <f>VLOOKUP($A52,'[1]Init $$'!$B$3:$CG$118,57,FALSE)</f>
        <v>0</v>
      </c>
      <c r="BF52" s="43">
        <f>'Est gen ed 23 $$'!BF52/'Est gen ed 23 pos'!BF$123</f>
        <v>0</v>
      </c>
      <c r="BG52" s="43">
        <f>'Est gen ed 23 $$'!BG52/'Est gen ed 23 pos'!BG$123</f>
        <v>0</v>
      </c>
      <c r="BH52" s="34">
        <f>VLOOKUP($A52,'[1]Init $$'!$B$3:$CG$118,60,FALSE)</f>
        <v>0</v>
      </c>
      <c r="BI52" s="34">
        <f>VLOOKUP($A52,'[1]Init $$'!$B$3:$CG$118,61,FALSE)</f>
        <v>0</v>
      </c>
      <c r="BJ52" s="34">
        <f>VLOOKUP($A52,'[1]Init $$'!$B$3:$CG$118,62,FALSE)</f>
        <v>0</v>
      </c>
      <c r="BK52" s="43">
        <f>'Est gen ed 23 $$'!BK52/'Est gen ed 23 pos'!BK$123</f>
        <v>0</v>
      </c>
      <c r="BL52" s="34">
        <f>VLOOKUP($A52,'[1]Init $$'!$B$3:$CG$118,64,FALSE)</f>
        <v>0</v>
      </c>
      <c r="BM52" s="43">
        <f>'Est gen ed 23 $$'!BM52/'Est gen ed 23 pos'!BM$123</f>
        <v>0</v>
      </c>
      <c r="BN52" s="34">
        <f>VLOOKUP($A52,'[1]Init $$'!$B$3:$CG$118,66,FALSE)</f>
        <v>0</v>
      </c>
      <c r="BO52" s="43">
        <f>'Est gen ed 23 $$'!BO52/'Est gen ed 23 pos'!BO$123</f>
        <v>0</v>
      </c>
      <c r="BP52" s="34">
        <f>VLOOKUP($A52,'[1]Init $$'!$B$3:$CG$118,68,FALSE)</f>
        <v>0</v>
      </c>
      <c r="BQ52" s="43">
        <f>'Est gen ed 23 $$'!BQ52/'Est gen ed 23 pos'!BQ$123</f>
        <v>0</v>
      </c>
      <c r="BR52" s="43">
        <f>'Est gen ed 23 $$'!BR52/'Est gen ed 23 pos'!BR$123</f>
        <v>0</v>
      </c>
      <c r="BS52" s="34">
        <f>VLOOKUP($A52,'[1]Init $$'!$B$3:$CG$118,71,FALSE)</f>
        <v>0</v>
      </c>
      <c r="BT52" s="34">
        <f>VLOOKUP($A52,'[1]Init $$'!$B$3:$CG$118,72,FALSE)</f>
        <v>0</v>
      </c>
      <c r="BU52" s="34">
        <f>VLOOKUP($A52,'[1]Init $$'!$B$3:$CG$118,73,FALSE)</f>
        <v>0</v>
      </c>
      <c r="BV52" s="34">
        <f>VLOOKUP($A52,'[1]Init $$'!$B$3:$CG$118,74,FALSE)</f>
        <v>0</v>
      </c>
      <c r="BW52" s="34">
        <f>VLOOKUP($A52,'[1]Init $$'!$B$3:$CG$118,75,FALSE)</f>
        <v>55921</v>
      </c>
      <c r="BX52" s="43">
        <f>'Est gen ed 23 $$'!BX52/'Est gen ed 23 pos'!BX$123</f>
        <v>0</v>
      </c>
      <c r="BY52" s="43">
        <f>'Est gen ed 23 $$'!BY52/'Est gen ed 23 pos'!BY$123</f>
        <v>0</v>
      </c>
      <c r="BZ52" s="43">
        <f>'Est gen ed 23 $$'!BZ52/'Est gen ed 23 pos'!BZ$123</f>
        <v>0</v>
      </c>
      <c r="CA52" s="34">
        <f>VLOOKUP($A52,'[1]Init $$'!$B$3:$CG$118,79,FALSE)</f>
        <v>571373.35</v>
      </c>
      <c r="CB52" s="34">
        <f>VLOOKUP($A52,'[1]Init $$'!$B$3:$CG$118,80,FALSE)</f>
        <v>68570.039999999994</v>
      </c>
      <c r="CC52" s="34">
        <f>VLOOKUP($A52,'[1]Init $$'!$B$3:$CG$118,81,FALSE)</f>
        <v>0</v>
      </c>
      <c r="CD52" s="34">
        <f>VLOOKUP($A52,'[1]Init $$'!$B$3:$CG$118,82,FALSE)</f>
        <v>159980.04</v>
      </c>
      <c r="CE52" s="34">
        <f>VLOOKUP($A52,'[1]Init $$'!$B$3:$CG$118,83,FALSE)</f>
        <v>0</v>
      </c>
      <c r="CF52" s="34">
        <f>VLOOKUP($A52,'[1]Init $$'!$B$3:$CG$118,84,FALSE)</f>
        <v>0</v>
      </c>
      <c r="CJ52" s="28">
        <f t="shared" si="2"/>
        <v>3728209.020000631</v>
      </c>
      <c r="CK52" s="43">
        <f>'Est gen ed 23 $$'!CK52/'Est gen ed 23 pos'!CK$123</f>
        <v>0.99999604682144683</v>
      </c>
      <c r="CL52" s="43">
        <f>'Est gen ed 23 $$'!CL52/'Est gen ed 23 pos'!CL$123</f>
        <v>1.2966666666666666</v>
      </c>
      <c r="CM52" s="43">
        <f>'Est gen ed 23 $$'!CM52/'Est gen ed 23 pos'!CM$123</f>
        <v>1</v>
      </c>
      <c r="CN52" s="43">
        <f>'Est gen ed 23 $$'!CN52/'Est gen ed 23 pos'!CN$123</f>
        <v>0</v>
      </c>
      <c r="CO52" s="43">
        <f>'Est gen ed 23 $$'!CO52/'Est gen ed 23 pos'!CO$123</f>
        <v>0</v>
      </c>
      <c r="CP52" s="43">
        <f>'Est gen ed 23 $$'!CP52/'Est gen ed 23 pos'!CP$123</f>
        <v>0</v>
      </c>
      <c r="CQ52" s="43">
        <f>'Est gen ed 23 $$'!CQ52/'Est gen ed 23 pos'!CQ$123</f>
        <v>0</v>
      </c>
      <c r="CR52" s="43">
        <f>'Est gen ed 23 $$'!CR52/'Est gen ed 23 pos'!CR$123</f>
        <v>0</v>
      </c>
      <c r="CS52" s="43">
        <f>'Est gen ed 23 $$'!CS52/'Est gen ed 23 pos'!CS$123</f>
        <v>0</v>
      </c>
      <c r="CT52" s="43">
        <f>'Est gen ed 23 $$'!CT52/'Est gen ed 23 pos'!CT$123</f>
        <v>0</v>
      </c>
      <c r="CU52" s="43">
        <f>'Est gen ed 23 $$'!CU52/'Est gen ed 23 pos'!CU$123</f>
        <v>20.999999999999996</v>
      </c>
      <c r="CZ52" s="43">
        <f>'Est gen ed 23 $$'!CW52/'Est gen ed 23 pos'!CZ$123</f>
        <v>0</v>
      </c>
      <c r="DB52" s="28">
        <f t="shared" si="3"/>
        <v>2323497</v>
      </c>
      <c r="DC52" s="28">
        <f t="shared" si="0"/>
        <v>159980.04</v>
      </c>
      <c r="DK52" s="34"/>
      <c r="DL52" s="34"/>
    </row>
    <row r="53" spans="1:116" x14ac:dyDescent="0.2">
      <c r="A53">
        <v>416</v>
      </c>
      <c r="B53" t="s">
        <v>76</v>
      </c>
      <c r="C53" t="s">
        <v>19</v>
      </c>
      <c r="D53">
        <v>8</v>
      </c>
      <c r="E53">
        <f>VLOOKUP($A53,'[1]Init $$'!$B$3:$CG$118,4,FALSE)</f>
        <v>332</v>
      </c>
      <c r="F53">
        <f>VLOOKUP($A53,'[1]Init $$'!$B$3:$CG$118,6,FALSE)</f>
        <v>332</v>
      </c>
      <c r="G53">
        <f>VLOOKUP($A53,'[2]$$xSchpostCouncilxLevel'!$A$4:$EW$120,153,FALSE)</f>
        <v>371</v>
      </c>
      <c r="H53" s="50">
        <f t="shared" si="1"/>
        <v>-39</v>
      </c>
      <c r="I53" s="4">
        <f>VLOOKUP($A53,'[1]Init $$'!$B$3:$CG$118,8,FALSE)</f>
        <v>0.81927710843373491</v>
      </c>
      <c r="J53">
        <f>VLOOKUP($A53,'[1]Init $$'!$B$3:$CG$118,7,FALSE)</f>
        <v>272</v>
      </c>
      <c r="K53" s="43">
        <f>'Est gen ed 23 $$'!K53/'Est gen ed 23 pos'!K$123</f>
        <v>1</v>
      </c>
      <c r="L53" s="43">
        <f>'Est gen ed 23 $$'!L53/'Est gen ed 23 pos'!L$123</f>
        <v>1</v>
      </c>
      <c r="M53" s="43">
        <f>'Est gen ed 23 $$'!M53/'Est gen ed 23 pos'!M$123</f>
        <v>0</v>
      </c>
      <c r="N53" s="43">
        <f>'Est gen ed 23 $$'!N53/'Est gen ed 23 pos'!N$123</f>
        <v>1</v>
      </c>
      <c r="O53" s="34">
        <f>VLOOKUP($A53,'[1]Init $$'!$B$3:$CG$118,15,FALSE)</f>
        <v>11636.45</v>
      </c>
      <c r="P53" s="43">
        <f>'Est gen ed 23 $$'!P53/'Est gen ed 23 pos'!P$123</f>
        <v>1</v>
      </c>
      <c r="Q53" s="43">
        <f>'Est gen ed 23 $$'!Q53/'Est gen ed 23 pos'!Q$123</f>
        <v>1</v>
      </c>
      <c r="R53" s="43">
        <f>'Est gen ed 23 $$'!R53/'Est gen ed 23 pos'!R$123</f>
        <v>4.0000003907222226</v>
      </c>
      <c r="S53" s="43">
        <f>'Est gen ed 23 $$'!S53/'Est gen ed 23 pos'!S$123</f>
        <v>1</v>
      </c>
      <c r="T53" s="43">
        <f>'Est gen ed 23 $$'!T53/'Est gen ed 23 pos'!T$123</f>
        <v>0</v>
      </c>
      <c r="U53" s="43">
        <f>'Est gen ed 23 $$'!U53/'Est gen ed 23 pos'!U$123</f>
        <v>0</v>
      </c>
      <c r="V53" s="43">
        <f>'Est gen ed 23 $$'!V53/'Est gen ed 23 pos'!V$123</f>
        <v>0</v>
      </c>
      <c r="W53" s="43">
        <f>'Est gen ed 23 $$'!W53/'Est gen ed 23 pos'!W$123</f>
        <v>0</v>
      </c>
      <c r="X53" s="34">
        <f>VLOOKUP($A53,'[1]Init $$'!$B$3:$CG$118,24,FALSE)</f>
        <v>0</v>
      </c>
      <c r="Y53" s="34">
        <f>VLOOKUP($A53,'[1]Init $$'!$B$3:$CG$118,25,FALSE)</f>
        <v>0</v>
      </c>
      <c r="Z53" s="34">
        <f>VLOOKUP($A53,'[1]Init $$'!$B$3:$CG$118,26,FALSE)</f>
        <v>0</v>
      </c>
      <c r="AA53" s="34">
        <f>VLOOKUP($A53,'[1]Init $$'!$B$3:$CG$118,27,FALSE)</f>
        <v>0</v>
      </c>
      <c r="AB53" s="43">
        <f>'Est gen ed 23 $$'!AB53/'Est gen ed 23 pos'!AB$123</f>
        <v>0</v>
      </c>
      <c r="AC53" s="43">
        <f>'Est gen ed 23 $$'!AC53/'Est gen ed 23 pos'!AC$123</f>
        <v>0</v>
      </c>
      <c r="AD53" s="43">
        <f>'Est gen ed 23 $$'!AD53/'Est gen ed 23 pos'!AD$123</f>
        <v>0</v>
      </c>
      <c r="AE53" s="43">
        <f>'Est gen ed 23 $$'!AE53/'Est gen ed 23 pos'!AE$123</f>
        <v>0</v>
      </c>
      <c r="AF53" s="34">
        <f>VLOOKUP($A53,'[1]Init $$'!$B$3:$CG$118,32,FALSE)</f>
        <v>1983036</v>
      </c>
      <c r="AG53" s="34">
        <f>VLOOKUP($A53,'[1]Init $$'!$B$3:$CG$118,33,FALSE)</f>
        <v>113544</v>
      </c>
      <c r="AH53" s="43">
        <f>'Est gen ed 23 $$'!AH53/'Est gen ed 23 pos'!AH$123</f>
        <v>1</v>
      </c>
      <c r="AI53" s="43">
        <f>'Est gen ed 23 $$'!AI53/'Est gen ed 23 pos'!AI$123</f>
        <v>2.9999999121515879</v>
      </c>
      <c r="AJ53" s="43">
        <f>'Est gen ed 23 $$'!AJ53/'Est gen ed 23 pos'!AJ$123</f>
        <v>5.9999998243031758</v>
      </c>
      <c r="AK53" s="43">
        <f>'Est gen ed 23 $$'!AK53/'Est gen ed 23 pos'!AK$123</f>
        <v>3.9999998243031758</v>
      </c>
      <c r="AL53" s="43">
        <f>'Est gen ed 23 $$'!AL53/'Est gen ed 23 pos'!AL$123</f>
        <v>5.9999994893586166</v>
      </c>
      <c r="AM53" s="43">
        <f>'Est gen ed 23 $$'!AM53/'Est gen ed 23 pos'!AM$123</f>
        <v>0</v>
      </c>
      <c r="AN53" s="43">
        <f>'Est gen ed 23 $$'!AN53/'Est gen ed 23 pos'!AN$123</f>
        <v>0</v>
      </c>
      <c r="AO53" s="43">
        <f>'Est gen ed 23 $$'!AO53/'Est gen ed 23 pos'!AO$123</f>
        <v>0</v>
      </c>
      <c r="AP53" s="34">
        <f>VLOOKUP($A53,'[1]Init $$'!$B$3:$CG$118,42,FALSE)</f>
        <v>157687.20000000001</v>
      </c>
      <c r="AQ53" s="34">
        <f>VLOOKUP($A53,'[1]Init $$'!$B$3:$CG$118,43,FALSE)</f>
        <v>0</v>
      </c>
      <c r="AR53" s="43">
        <f>'Est gen ed 23 $$'!AR53/'Est gen ed 23 pos'!AR$123</f>
        <v>0</v>
      </c>
      <c r="AS53" s="43">
        <f>'Est gen ed 23 $$'!AS53/'Est gen ed 23 pos'!AS$123</f>
        <v>4.9999978037896929E-2</v>
      </c>
      <c r="AT53" s="43">
        <f>'Est gen ed 23 $$'!AT53/'Est gen ed 23 pos'!AT$123</f>
        <v>0</v>
      </c>
      <c r="AU53" s="34">
        <f>VLOOKUP($A53,'[1]Init $$'!$B$3:$CG$118,47,FALSE)</f>
        <v>1791.9</v>
      </c>
      <c r="AV53" s="34">
        <f>VLOOKUP($A53,'[1]Init $$'!$B$3:$CG$118,48,FALSE)</f>
        <v>0</v>
      </c>
      <c r="AW53" s="34">
        <f>VLOOKUP($A53,'[1]Init $$'!$B$3:$CG$118,49,FALSE)</f>
        <v>0</v>
      </c>
      <c r="AX53" s="34">
        <f>VLOOKUP($A53,'[1]Init $$'!$B$3:$CG$118,50,FALSE)</f>
        <v>0</v>
      </c>
      <c r="AY53" s="34">
        <f>VLOOKUP($A53,'[1]Init $$'!$B$3:$CG$118,51,FALSE)</f>
        <v>0</v>
      </c>
      <c r="AZ53" s="34">
        <f>VLOOKUP($A53,'[1]Init $$'!$B$3:$CG$118,52,FALSE)</f>
        <v>0</v>
      </c>
      <c r="BA53" s="34">
        <f>VLOOKUP($A53,'[1]Init $$'!$B$3:$CG$118,53,FALSE)</f>
        <v>0</v>
      </c>
      <c r="BB53" s="34">
        <f>VLOOKUP($A53,'[1]Init $$'!$B$3:$CG$118,54,FALSE)</f>
        <v>0</v>
      </c>
      <c r="BC53" s="34">
        <f>VLOOKUP($A53,'[1]Init $$'!$B$3:$CG$118,55,FALSE)</f>
        <v>179672.15</v>
      </c>
      <c r="BD53" s="34">
        <f>VLOOKUP($A53,'[1]Init $$'!$B$3:$CG$118,56,FALSE)</f>
        <v>2894.07</v>
      </c>
      <c r="BE53" s="34">
        <f>VLOOKUP($A53,'[1]Init $$'!$B$3:$CG$118,57,FALSE)</f>
        <v>0</v>
      </c>
      <c r="BF53" s="43">
        <f>'Est gen ed 23 $$'!BF53/'Est gen ed 23 pos'!BF$123</f>
        <v>0</v>
      </c>
      <c r="BG53" s="43">
        <f>'Est gen ed 23 $$'!BG53/'Est gen ed 23 pos'!BG$123</f>
        <v>0</v>
      </c>
      <c r="BH53" s="34">
        <f>VLOOKUP($A53,'[1]Init $$'!$B$3:$CG$118,60,FALSE)</f>
        <v>0</v>
      </c>
      <c r="BI53" s="34">
        <f>VLOOKUP($A53,'[1]Init $$'!$B$3:$CG$118,61,FALSE)</f>
        <v>0</v>
      </c>
      <c r="BJ53" s="34">
        <f>VLOOKUP($A53,'[1]Init $$'!$B$3:$CG$118,62,FALSE)</f>
        <v>0</v>
      </c>
      <c r="BK53" s="43">
        <f>'Est gen ed 23 $$'!BK53/'Est gen ed 23 pos'!BK$123</f>
        <v>0</v>
      </c>
      <c r="BL53" s="34">
        <f>VLOOKUP($A53,'[1]Init $$'!$B$3:$CG$118,64,FALSE)</f>
        <v>0</v>
      </c>
      <c r="BM53" s="43">
        <f>'Est gen ed 23 $$'!BM53/'Est gen ed 23 pos'!BM$123</f>
        <v>0</v>
      </c>
      <c r="BN53" s="34">
        <f>VLOOKUP($A53,'[1]Init $$'!$B$3:$CG$118,66,FALSE)</f>
        <v>0</v>
      </c>
      <c r="BO53" s="43">
        <f>'Est gen ed 23 $$'!BO53/'Est gen ed 23 pos'!BO$123</f>
        <v>0</v>
      </c>
      <c r="BP53" s="34">
        <f>VLOOKUP($A53,'[1]Init $$'!$B$3:$CG$118,68,FALSE)</f>
        <v>0</v>
      </c>
      <c r="BQ53" s="43">
        <f>'Est gen ed 23 $$'!BQ53/'Est gen ed 23 pos'!BQ$123</f>
        <v>0</v>
      </c>
      <c r="BR53" s="43">
        <f>'Est gen ed 23 $$'!BR53/'Est gen ed 23 pos'!BR$123</f>
        <v>0</v>
      </c>
      <c r="BS53" s="34">
        <f>VLOOKUP($A53,'[1]Init $$'!$B$3:$CG$118,71,FALSE)</f>
        <v>0</v>
      </c>
      <c r="BT53" s="34">
        <f>VLOOKUP($A53,'[1]Init $$'!$B$3:$CG$118,72,FALSE)</f>
        <v>0</v>
      </c>
      <c r="BU53" s="34">
        <f>VLOOKUP($A53,'[1]Init $$'!$B$3:$CG$118,73,FALSE)</f>
        <v>0</v>
      </c>
      <c r="BV53" s="34">
        <f>VLOOKUP($A53,'[1]Init $$'!$B$3:$CG$118,74,FALSE)</f>
        <v>0</v>
      </c>
      <c r="BW53" s="34">
        <f>VLOOKUP($A53,'[1]Init $$'!$B$3:$CG$118,75,FALSE)</f>
        <v>0</v>
      </c>
      <c r="BX53" s="43">
        <f>'Est gen ed 23 $$'!BX53/'Est gen ed 23 pos'!BX$123</f>
        <v>0</v>
      </c>
      <c r="BY53" s="43">
        <f>'Est gen ed 23 $$'!BY53/'Est gen ed 23 pos'!BY$123</f>
        <v>0</v>
      </c>
      <c r="BZ53" s="43">
        <f>'Est gen ed 23 $$'!BZ53/'Est gen ed 23 pos'!BZ$123</f>
        <v>0</v>
      </c>
      <c r="CA53" s="34">
        <f>VLOOKUP($A53,'[1]Init $$'!$B$3:$CG$118,79,FALSE)</f>
        <v>729641.09</v>
      </c>
      <c r="CB53" s="34">
        <f>VLOOKUP($A53,'[1]Init $$'!$B$3:$CG$118,80,FALSE)</f>
        <v>213594.48</v>
      </c>
      <c r="CC53" s="34">
        <f>VLOOKUP($A53,'[1]Init $$'!$B$3:$CG$118,81,FALSE)</f>
        <v>46272.73</v>
      </c>
      <c r="CD53" s="34">
        <f>VLOOKUP($A53,'[1]Init $$'!$B$3:$CG$118,82,FALSE)</f>
        <v>73930.759999999995</v>
      </c>
      <c r="CE53" s="34">
        <f>VLOOKUP($A53,'[1]Init $$'!$B$3:$CG$118,83,FALSE)</f>
        <v>0</v>
      </c>
      <c r="CF53" s="34">
        <f>VLOOKUP($A53,'[1]Init $$'!$B$3:$CG$118,84,FALSE)</f>
        <v>0</v>
      </c>
      <c r="CJ53" s="28">
        <f t="shared" si="2"/>
        <v>3513730.8799994178</v>
      </c>
      <c r="CK53" s="43">
        <f>'Est gen ed 23 $$'!CK53/'Est gen ed 23 pos'!CK$123</f>
        <v>0.99999604682144683</v>
      </c>
      <c r="CL53" s="43">
        <f>'Est gen ed 23 $$'!CL53/'Est gen ed 23 pos'!CL$123</f>
        <v>1.1066666666666667</v>
      </c>
      <c r="CM53" s="43">
        <f>'Est gen ed 23 $$'!CM53/'Est gen ed 23 pos'!CM$123</f>
        <v>1</v>
      </c>
      <c r="CN53" s="43">
        <f>'Est gen ed 23 $$'!CN53/'Est gen ed 23 pos'!CN$123</f>
        <v>0</v>
      </c>
      <c r="CO53" s="43">
        <f>'Est gen ed 23 $$'!CO53/'Est gen ed 23 pos'!CO$123</f>
        <v>0</v>
      </c>
      <c r="CP53" s="43">
        <f>'Est gen ed 23 $$'!CP53/'Est gen ed 23 pos'!CP$123</f>
        <v>0</v>
      </c>
      <c r="CQ53" s="43">
        <f>'Est gen ed 23 $$'!CQ53/'Est gen ed 23 pos'!CQ$123</f>
        <v>0</v>
      </c>
      <c r="CR53" s="43">
        <f>'Est gen ed 23 $$'!CR53/'Est gen ed 23 pos'!CR$123</f>
        <v>0</v>
      </c>
      <c r="CS53" s="43">
        <f>'Est gen ed 23 $$'!CS53/'Est gen ed 23 pos'!CS$123</f>
        <v>0</v>
      </c>
      <c r="CT53" s="43">
        <f>'Est gen ed 23 $$'!CT53/'Est gen ed 23 pos'!CT$123</f>
        <v>0</v>
      </c>
      <c r="CU53" s="43">
        <f>'Est gen ed 23 $$'!CU53/'Est gen ed 23 pos'!CU$123</f>
        <v>18</v>
      </c>
      <c r="CZ53" s="43">
        <f>'Est gen ed 23 $$'!CW53/'Est gen ed 23 pos'!CZ$123</f>
        <v>0</v>
      </c>
      <c r="DB53" s="28">
        <f t="shared" si="3"/>
        <v>1983036</v>
      </c>
      <c r="DC53" s="28">
        <f t="shared" si="0"/>
        <v>120203.48999999999</v>
      </c>
      <c r="DK53" s="34"/>
      <c r="DL53" s="34"/>
    </row>
    <row r="54" spans="1:116" x14ac:dyDescent="0.2">
      <c r="A54">
        <v>421</v>
      </c>
      <c r="B54" t="s">
        <v>75</v>
      </c>
      <c r="C54" t="s">
        <v>19</v>
      </c>
      <c r="D54">
        <v>7</v>
      </c>
      <c r="E54">
        <f>VLOOKUP($A54,'[1]Init $$'!$B$3:$CG$118,4,FALSE)</f>
        <v>375</v>
      </c>
      <c r="F54">
        <f>VLOOKUP($A54,'[1]Init $$'!$B$3:$CG$118,6,FALSE)</f>
        <v>375</v>
      </c>
      <c r="G54">
        <f>VLOOKUP($A54,'[2]$$xSchpostCouncilxLevel'!$A$4:$EW$120,153,FALSE)</f>
        <v>450</v>
      </c>
      <c r="H54" s="50">
        <f t="shared" si="1"/>
        <v>-75</v>
      </c>
      <c r="I54" s="4">
        <f>VLOOKUP($A54,'[1]Init $$'!$B$3:$CG$118,8,FALSE)</f>
        <v>0.72799999999999998</v>
      </c>
      <c r="J54">
        <f>VLOOKUP($A54,'[1]Init $$'!$B$3:$CG$118,7,FALSE)</f>
        <v>273</v>
      </c>
      <c r="K54" s="43">
        <f>'Est gen ed 23 $$'!K54/'Est gen ed 23 pos'!K$123</f>
        <v>1</v>
      </c>
      <c r="L54" s="43">
        <f>'Est gen ed 23 $$'!L54/'Est gen ed 23 pos'!L$123</f>
        <v>1</v>
      </c>
      <c r="M54" s="43">
        <f>'Est gen ed 23 $$'!M54/'Est gen ed 23 pos'!M$123</f>
        <v>0</v>
      </c>
      <c r="N54" s="43">
        <f>'Est gen ed 23 $$'!N54/'Est gen ed 23 pos'!N$123</f>
        <v>1</v>
      </c>
      <c r="O54" s="34">
        <f>VLOOKUP($A54,'[1]Init $$'!$B$3:$CG$118,15,FALSE)</f>
        <v>10032.549999999999</v>
      </c>
      <c r="P54" s="43">
        <f>'Est gen ed 23 $$'!P54/'Est gen ed 23 pos'!P$123</f>
        <v>1</v>
      </c>
      <c r="Q54" s="43">
        <f>'Est gen ed 23 $$'!Q54/'Est gen ed 23 pos'!Q$123</f>
        <v>1</v>
      </c>
      <c r="R54" s="43">
        <f>'Est gen ed 23 $$'!R54/'Est gen ed 23 pos'!R$123</f>
        <v>4.0000003907222226</v>
      </c>
      <c r="S54" s="43">
        <f>'Est gen ed 23 $$'!S54/'Est gen ed 23 pos'!S$123</f>
        <v>1</v>
      </c>
      <c r="T54" s="43">
        <f>'Est gen ed 23 $$'!T54/'Est gen ed 23 pos'!T$123</f>
        <v>0</v>
      </c>
      <c r="U54" s="43">
        <f>'Est gen ed 23 $$'!U54/'Est gen ed 23 pos'!U$123</f>
        <v>0</v>
      </c>
      <c r="V54" s="43">
        <f>'Est gen ed 23 $$'!V54/'Est gen ed 23 pos'!V$123</f>
        <v>0</v>
      </c>
      <c r="W54" s="43">
        <f>'Est gen ed 23 $$'!W54/'Est gen ed 23 pos'!W$123</f>
        <v>0</v>
      </c>
      <c r="X54" s="34">
        <f>VLOOKUP($A54,'[1]Init $$'!$B$3:$CG$118,24,FALSE)</f>
        <v>0</v>
      </c>
      <c r="Y54" s="34">
        <f>VLOOKUP($A54,'[1]Init $$'!$B$3:$CG$118,25,FALSE)</f>
        <v>0</v>
      </c>
      <c r="Z54" s="34">
        <f>VLOOKUP($A54,'[1]Init $$'!$B$3:$CG$118,26,FALSE)</f>
        <v>0</v>
      </c>
      <c r="AA54" s="34">
        <f>VLOOKUP($A54,'[1]Init $$'!$B$3:$CG$118,27,FALSE)</f>
        <v>0</v>
      </c>
      <c r="AB54" s="43">
        <f>'Est gen ed 23 $$'!AB54/'Est gen ed 23 pos'!AB$123</f>
        <v>0</v>
      </c>
      <c r="AC54" s="43">
        <f>'Est gen ed 23 $$'!AC54/'Est gen ed 23 pos'!AC$123</f>
        <v>0</v>
      </c>
      <c r="AD54" s="43">
        <f>'Est gen ed 23 $$'!AD54/'Est gen ed 23 pos'!AD$123</f>
        <v>0</v>
      </c>
      <c r="AE54" s="43">
        <f>'Est gen ed 23 $$'!AE54/'Est gen ed 23 pos'!AE$123</f>
        <v>0</v>
      </c>
      <c r="AF54" s="34">
        <f>VLOOKUP($A54,'[1]Init $$'!$B$3:$CG$118,32,FALSE)</f>
        <v>2239875</v>
      </c>
      <c r="AG54" s="34">
        <f>VLOOKUP($A54,'[1]Init $$'!$B$3:$CG$118,33,FALSE)</f>
        <v>128250</v>
      </c>
      <c r="AH54" s="43">
        <f>'Est gen ed 23 $$'!AH54/'Est gen ed 23 pos'!AH$123</f>
        <v>1</v>
      </c>
      <c r="AI54" s="43">
        <f>'Est gen ed 23 $$'!AI54/'Est gen ed 23 pos'!AI$123</f>
        <v>3.9999998243031758</v>
      </c>
      <c r="AJ54" s="43">
        <f>'Est gen ed 23 $$'!AJ54/'Est gen ed 23 pos'!AJ$123</f>
        <v>4.9999998243031758</v>
      </c>
      <c r="AK54" s="43">
        <f>'Est gen ed 23 $$'!AK54/'Est gen ed 23 pos'!AK$123</f>
        <v>3.9999998243031758</v>
      </c>
      <c r="AL54" s="43">
        <f>'Est gen ed 23 $$'!AL54/'Est gen ed 23 pos'!AL$123</f>
        <v>3.9999997446793079</v>
      </c>
      <c r="AM54" s="43">
        <f>'Est gen ed 23 $$'!AM54/'Est gen ed 23 pos'!AM$123</f>
        <v>0</v>
      </c>
      <c r="AN54" s="43">
        <f>'Est gen ed 23 $$'!AN54/'Est gen ed 23 pos'!AN$123</f>
        <v>2.0000019111157443</v>
      </c>
      <c r="AO54" s="43">
        <f>'Est gen ed 23 $$'!AO54/'Est gen ed 23 pos'!AO$123</f>
        <v>0</v>
      </c>
      <c r="AP54" s="34">
        <f>VLOOKUP($A54,'[1]Init $$'!$B$3:$CG$118,42,FALSE)</f>
        <v>93178.8</v>
      </c>
      <c r="AQ54" s="34">
        <f>VLOOKUP($A54,'[1]Init $$'!$B$3:$CG$118,43,FALSE)</f>
        <v>0</v>
      </c>
      <c r="AR54" s="43">
        <f>'Est gen ed 23 $$'!AR54/'Est gen ed 23 pos'!AR$123</f>
        <v>1</v>
      </c>
      <c r="AS54" s="43">
        <f>'Est gen ed 23 $$'!AS54/'Est gen ed 23 pos'!AS$123</f>
        <v>0</v>
      </c>
      <c r="AT54" s="43">
        <f>'Est gen ed 23 $$'!AT54/'Est gen ed 23 pos'!AT$123</f>
        <v>0</v>
      </c>
      <c r="AU54" s="34">
        <f>VLOOKUP($A54,'[1]Init $$'!$B$3:$CG$118,47,FALSE)</f>
        <v>32254.2</v>
      </c>
      <c r="AV54" s="34">
        <f>VLOOKUP($A54,'[1]Init $$'!$B$3:$CG$118,48,FALSE)</f>
        <v>0</v>
      </c>
      <c r="AW54" s="34">
        <f>VLOOKUP($A54,'[1]Init $$'!$B$3:$CG$118,49,FALSE)</f>
        <v>0</v>
      </c>
      <c r="AX54" s="34">
        <f>VLOOKUP($A54,'[1]Init $$'!$B$3:$CG$118,50,FALSE)</f>
        <v>0</v>
      </c>
      <c r="AY54" s="34">
        <f>VLOOKUP($A54,'[1]Init $$'!$B$3:$CG$118,51,FALSE)</f>
        <v>0</v>
      </c>
      <c r="AZ54" s="34">
        <f>VLOOKUP($A54,'[1]Init $$'!$B$3:$CG$118,52,FALSE)</f>
        <v>0</v>
      </c>
      <c r="BA54" s="34">
        <f>VLOOKUP($A54,'[1]Init $$'!$B$3:$CG$118,53,FALSE)</f>
        <v>0</v>
      </c>
      <c r="BB54" s="34">
        <f>VLOOKUP($A54,'[1]Init $$'!$B$3:$CG$118,54,FALSE)</f>
        <v>0</v>
      </c>
      <c r="BC54" s="34">
        <f>VLOOKUP($A54,'[1]Init $$'!$B$3:$CG$118,55,FALSE)</f>
        <v>202942.94</v>
      </c>
      <c r="BD54" s="34">
        <f>VLOOKUP($A54,'[1]Init $$'!$B$3:$CG$118,56,FALSE)</f>
        <v>3268.91</v>
      </c>
      <c r="BE54" s="34">
        <f>VLOOKUP($A54,'[1]Init $$'!$B$3:$CG$118,57,FALSE)</f>
        <v>0</v>
      </c>
      <c r="BF54" s="43">
        <f>'Est gen ed 23 $$'!BF54/'Est gen ed 23 pos'!BF$123</f>
        <v>0</v>
      </c>
      <c r="BG54" s="43">
        <f>'Est gen ed 23 $$'!BG54/'Est gen ed 23 pos'!BG$123</f>
        <v>0</v>
      </c>
      <c r="BH54" s="34">
        <f>VLOOKUP($A54,'[1]Init $$'!$B$3:$CG$118,60,FALSE)</f>
        <v>0</v>
      </c>
      <c r="BI54" s="34">
        <f>VLOOKUP($A54,'[1]Init $$'!$B$3:$CG$118,61,FALSE)</f>
        <v>0</v>
      </c>
      <c r="BJ54" s="34">
        <f>VLOOKUP($A54,'[1]Init $$'!$B$3:$CG$118,62,FALSE)</f>
        <v>0</v>
      </c>
      <c r="BK54" s="43">
        <f>'Est gen ed 23 $$'!BK54/'Est gen ed 23 pos'!BK$123</f>
        <v>0</v>
      </c>
      <c r="BL54" s="34">
        <f>VLOOKUP($A54,'[1]Init $$'!$B$3:$CG$118,64,FALSE)</f>
        <v>0</v>
      </c>
      <c r="BM54" s="43">
        <f>'Est gen ed 23 $$'!BM54/'Est gen ed 23 pos'!BM$123</f>
        <v>0</v>
      </c>
      <c r="BN54" s="34">
        <f>VLOOKUP($A54,'[1]Init $$'!$B$3:$CG$118,66,FALSE)</f>
        <v>0</v>
      </c>
      <c r="BO54" s="43">
        <f>'Est gen ed 23 $$'!BO54/'Est gen ed 23 pos'!BO$123</f>
        <v>0</v>
      </c>
      <c r="BP54" s="34">
        <f>VLOOKUP($A54,'[1]Init $$'!$B$3:$CG$118,68,FALSE)</f>
        <v>0</v>
      </c>
      <c r="BQ54" s="43">
        <f>'Est gen ed 23 $$'!BQ54/'Est gen ed 23 pos'!BQ$123</f>
        <v>0</v>
      </c>
      <c r="BR54" s="43">
        <f>'Est gen ed 23 $$'!BR54/'Est gen ed 23 pos'!BR$123</f>
        <v>0</v>
      </c>
      <c r="BS54" s="34">
        <f>VLOOKUP($A54,'[1]Init $$'!$B$3:$CG$118,71,FALSE)</f>
        <v>0</v>
      </c>
      <c r="BT54" s="34">
        <f>VLOOKUP($A54,'[1]Init $$'!$B$3:$CG$118,72,FALSE)</f>
        <v>0</v>
      </c>
      <c r="BU54" s="34">
        <f>VLOOKUP($A54,'[1]Init $$'!$B$3:$CG$118,73,FALSE)</f>
        <v>0</v>
      </c>
      <c r="BV54" s="34">
        <f>VLOOKUP($A54,'[1]Init $$'!$B$3:$CG$118,74,FALSE)</f>
        <v>0</v>
      </c>
      <c r="BW54" s="34">
        <f>VLOOKUP($A54,'[1]Init $$'!$B$3:$CG$118,75,FALSE)</f>
        <v>0</v>
      </c>
      <c r="BX54" s="43">
        <f>'Est gen ed 23 $$'!BX54/'Est gen ed 23 pos'!BX$123</f>
        <v>0</v>
      </c>
      <c r="BY54" s="43">
        <f>'Est gen ed 23 $$'!BY54/'Est gen ed 23 pos'!BY$123</f>
        <v>0</v>
      </c>
      <c r="BZ54" s="43">
        <f>'Est gen ed 23 $$'!BZ54/'Est gen ed 23 pos'!BZ$123</f>
        <v>0</v>
      </c>
      <c r="CA54" s="34">
        <f>VLOOKUP($A54,'[1]Init $$'!$B$3:$CG$118,79,FALSE)</f>
        <v>732323.59</v>
      </c>
      <c r="CB54" s="34">
        <f>VLOOKUP($A54,'[1]Init $$'!$B$3:$CG$118,80,FALSE)</f>
        <v>159479.1</v>
      </c>
      <c r="CC54" s="34">
        <f>VLOOKUP($A54,'[1]Init $$'!$B$3:$CG$118,81,FALSE)</f>
        <v>373247.52</v>
      </c>
      <c r="CD54" s="34">
        <f>VLOOKUP($A54,'[1]Init $$'!$B$3:$CG$118,82,FALSE)</f>
        <v>0</v>
      </c>
      <c r="CE54" s="34">
        <f>VLOOKUP($A54,'[1]Init $$'!$B$3:$CG$118,83,FALSE)</f>
        <v>0</v>
      </c>
      <c r="CF54" s="34">
        <f>VLOOKUP($A54,'[1]Init $$'!$B$3:$CG$118,84,FALSE)</f>
        <v>668428.72</v>
      </c>
      <c r="CJ54" s="28">
        <f t="shared" si="2"/>
        <v>4643312.33000152</v>
      </c>
      <c r="CK54" s="43">
        <f>'Est gen ed 23 $$'!CK54/'Est gen ed 23 pos'!CK$123</f>
        <v>0.99999604682144683</v>
      </c>
      <c r="CL54" s="43">
        <f>'Est gen ed 23 $$'!CL54/'Est gen ed 23 pos'!CL$123</f>
        <v>1.25</v>
      </c>
      <c r="CM54" s="43">
        <f>'Est gen ed 23 $$'!CM54/'Est gen ed 23 pos'!CM$123</f>
        <v>1</v>
      </c>
      <c r="CN54" s="43">
        <f>'Est gen ed 23 $$'!CN54/'Est gen ed 23 pos'!CN$123</f>
        <v>0</v>
      </c>
      <c r="CO54" s="43">
        <f>'Est gen ed 23 $$'!CO54/'Est gen ed 23 pos'!CO$123</f>
        <v>0</v>
      </c>
      <c r="CP54" s="43">
        <f>'Est gen ed 23 $$'!CP54/'Est gen ed 23 pos'!CP$123</f>
        <v>0</v>
      </c>
      <c r="CQ54" s="43">
        <f>'Est gen ed 23 $$'!CQ54/'Est gen ed 23 pos'!CQ$123</f>
        <v>0</v>
      </c>
      <c r="CR54" s="43">
        <f>'Est gen ed 23 $$'!CR54/'Est gen ed 23 pos'!CR$123</f>
        <v>0</v>
      </c>
      <c r="CS54" s="43">
        <f>'Est gen ed 23 $$'!CS54/'Est gen ed 23 pos'!CS$123</f>
        <v>0</v>
      </c>
      <c r="CT54" s="43">
        <f>'Est gen ed 23 $$'!CT54/'Est gen ed 23 pos'!CT$123</f>
        <v>0</v>
      </c>
      <c r="CU54" s="43">
        <f>'Est gen ed 23 $$'!CU54/'Est gen ed 23 pos'!CU$123</f>
        <v>20</v>
      </c>
      <c r="CZ54" s="43">
        <f>'Est gen ed 23 $$'!CW54/'Est gen ed 23 pos'!CZ$123</f>
        <v>0</v>
      </c>
      <c r="DB54" s="28">
        <f t="shared" si="3"/>
        <v>2239875</v>
      </c>
      <c r="DC54" s="28">
        <f t="shared" si="0"/>
        <v>1041676.24</v>
      </c>
      <c r="DK54" s="34"/>
      <c r="DL54" s="34"/>
    </row>
    <row r="55" spans="1:116" x14ac:dyDescent="0.2">
      <c r="A55">
        <v>257</v>
      </c>
      <c r="B55" t="s">
        <v>74</v>
      </c>
      <c r="C55" t="s">
        <v>7</v>
      </c>
      <c r="D55">
        <v>8</v>
      </c>
      <c r="E55">
        <f>VLOOKUP($A55,'[1]Init $$'!$B$3:$CG$118,4,FALSE)</f>
        <v>292</v>
      </c>
      <c r="F55">
        <f>VLOOKUP($A55,'[1]Init $$'!$B$3:$CG$118,6,FALSE)</f>
        <v>224</v>
      </c>
      <c r="G55">
        <f>VLOOKUP($A55,'[2]$$xSchpostCouncilxLevel'!$A$4:$EW$120,153,FALSE)</f>
        <v>264</v>
      </c>
      <c r="H55" s="50">
        <f t="shared" si="1"/>
        <v>-40</v>
      </c>
      <c r="I55" s="4">
        <f>VLOOKUP($A55,'[1]Init $$'!$B$3:$CG$118,8,FALSE)</f>
        <v>0.81849315068493156</v>
      </c>
      <c r="J55">
        <f>VLOOKUP($A55,'[1]Init $$'!$B$3:$CG$118,7,FALSE)</f>
        <v>239</v>
      </c>
      <c r="K55" s="43">
        <f>'Est gen ed 23 $$'!K55/'Est gen ed 23 pos'!K$123</f>
        <v>1</v>
      </c>
      <c r="L55" s="43">
        <f>'Est gen ed 23 $$'!L55/'Est gen ed 23 pos'!L$123</f>
        <v>0</v>
      </c>
      <c r="M55" s="43">
        <f>'Est gen ed 23 $$'!M55/'Est gen ed 23 pos'!M$123</f>
        <v>0</v>
      </c>
      <c r="N55" s="43">
        <f>'Est gen ed 23 $$'!N55/'Est gen ed 23 pos'!N$123</f>
        <v>1</v>
      </c>
      <c r="O55" s="34">
        <f>VLOOKUP($A55,'[1]Init $$'!$B$3:$CG$118,15,FALSE)</f>
        <v>6933.25</v>
      </c>
      <c r="P55" s="43">
        <f>'Est gen ed 23 $$'!P55/'Est gen ed 23 pos'!P$123</f>
        <v>1</v>
      </c>
      <c r="Q55" s="43">
        <f>'Est gen ed 23 $$'!Q55/'Est gen ed 23 pos'!Q$123</f>
        <v>1</v>
      </c>
      <c r="R55" s="43">
        <f>'Est gen ed 23 $$'!R55/'Est gen ed 23 pos'!R$123</f>
        <v>1</v>
      </c>
      <c r="S55" s="43">
        <f>'Est gen ed 23 $$'!S55/'Est gen ed 23 pos'!S$123</f>
        <v>1</v>
      </c>
      <c r="T55" s="43">
        <f>'Est gen ed 23 $$'!T55/'Est gen ed 23 pos'!T$123</f>
        <v>1</v>
      </c>
      <c r="U55" s="43">
        <f>'Est gen ed 23 $$'!U55/'Est gen ed 23 pos'!U$123</f>
        <v>1.9999999121515879</v>
      </c>
      <c r="V55" s="43">
        <f>'Est gen ed 23 $$'!V55/'Est gen ed 23 pos'!V$123</f>
        <v>1.9999999121515879</v>
      </c>
      <c r="W55" s="43">
        <f>'Est gen ed 23 $$'!W55/'Est gen ed 23 pos'!W$123</f>
        <v>4.9999994893586166</v>
      </c>
      <c r="X55" s="34">
        <f>VLOOKUP($A55,'[1]Init $$'!$B$3:$CG$118,24,FALSE)</f>
        <v>121849.2</v>
      </c>
      <c r="Y55" s="34">
        <f>VLOOKUP($A55,'[1]Init $$'!$B$3:$CG$118,25,FALSE)</f>
        <v>0</v>
      </c>
      <c r="Z55" s="34">
        <f>VLOOKUP($A55,'[1]Init $$'!$B$3:$CG$118,26,FALSE)</f>
        <v>0</v>
      </c>
      <c r="AA55" s="34">
        <f>VLOOKUP($A55,'[1]Init $$'!$B$3:$CG$118,27,FALSE)</f>
        <v>0</v>
      </c>
      <c r="AB55" s="43">
        <f>'Est gen ed 23 $$'!AB55/'Est gen ed 23 pos'!AB$123</f>
        <v>0</v>
      </c>
      <c r="AC55" s="43">
        <f>'Est gen ed 23 $$'!AC55/'Est gen ed 23 pos'!AC$123</f>
        <v>0</v>
      </c>
      <c r="AD55" s="43">
        <f>'Est gen ed 23 $$'!AD55/'Est gen ed 23 pos'!AD$123</f>
        <v>0</v>
      </c>
      <c r="AE55" s="43">
        <f>'Est gen ed 23 $$'!AE55/'Est gen ed 23 pos'!AE$123</f>
        <v>0</v>
      </c>
      <c r="AF55" s="34">
        <f>VLOOKUP($A55,'[1]Init $$'!$B$3:$CG$118,32,FALSE)</f>
        <v>1337952</v>
      </c>
      <c r="AG55" s="34">
        <f>VLOOKUP($A55,'[1]Init $$'!$B$3:$CG$118,33,FALSE)</f>
        <v>94900</v>
      </c>
      <c r="AH55" s="43">
        <f>'Est gen ed 23 $$'!AH55/'Est gen ed 23 pos'!AH$123</f>
        <v>1</v>
      </c>
      <c r="AI55" s="43">
        <f>'Est gen ed 23 $$'!AI55/'Est gen ed 23 pos'!AI$123</f>
        <v>1</v>
      </c>
      <c r="AJ55" s="43">
        <f>'Est gen ed 23 $$'!AJ55/'Est gen ed 23 pos'!AJ$123</f>
        <v>2.9999999121515879</v>
      </c>
      <c r="AK55" s="43">
        <f>'Est gen ed 23 $$'!AK55/'Est gen ed 23 pos'!AK$123</f>
        <v>0</v>
      </c>
      <c r="AL55" s="43">
        <f>'Est gen ed 23 $$'!AL55/'Est gen ed 23 pos'!AL$123</f>
        <v>0</v>
      </c>
      <c r="AM55" s="43">
        <f>'Est gen ed 23 $$'!AM55/'Est gen ed 23 pos'!AM$123</f>
        <v>0</v>
      </c>
      <c r="AN55" s="43">
        <f>'Est gen ed 23 $$'!AN55/'Est gen ed 23 pos'!AN$123</f>
        <v>0</v>
      </c>
      <c r="AO55" s="43">
        <f>'Est gen ed 23 $$'!AO55/'Est gen ed 23 pos'!AO$123</f>
        <v>0</v>
      </c>
      <c r="AP55" s="34">
        <f>VLOOKUP($A55,'[1]Init $$'!$B$3:$CG$118,42,FALSE)</f>
        <v>60924.6</v>
      </c>
      <c r="AQ55" s="34">
        <f>VLOOKUP($A55,'[1]Init $$'!$B$3:$CG$118,43,FALSE)</f>
        <v>0</v>
      </c>
      <c r="AR55" s="43">
        <f>'Est gen ed 23 $$'!AR55/'Est gen ed 23 pos'!AR$123</f>
        <v>0</v>
      </c>
      <c r="AS55" s="43">
        <f>'Est gen ed 23 $$'!AS55/'Est gen ed 23 pos'!AS$123</f>
        <v>0.26999998682273813</v>
      </c>
      <c r="AT55" s="43">
        <f>'Est gen ed 23 $$'!AT55/'Est gen ed 23 pos'!AT$123</f>
        <v>0</v>
      </c>
      <c r="AU55" s="34">
        <f>VLOOKUP($A55,'[1]Init $$'!$B$3:$CG$118,47,FALSE)</f>
        <v>10751.4</v>
      </c>
      <c r="AV55" s="34">
        <f>VLOOKUP($A55,'[1]Init $$'!$B$3:$CG$118,48,FALSE)</f>
        <v>20400</v>
      </c>
      <c r="AW55" s="34">
        <f>VLOOKUP($A55,'[1]Init $$'!$B$3:$CG$118,49,FALSE)</f>
        <v>13600</v>
      </c>
      <c r="AX55" s="34">
        <f>VLOOKUP($A55,'[1]Init $$'!$B$3:$CG$118,50,FALSE)</f>
        <v>10200</v>
      </c>
      <c r="AY55" s="34">
        <f>VLOOKUP($A55,'[1]Init $$'!$B$3:$CG$118,51,FALSE)</f>
        <v>0</v>
      </c>
      <c r="AZ55" s="34">
        <f>VLOOKUP($A55,'[1]Init $$'!$B$3:$CG$118,52,FALSE)</f>
        <v>20400</v>
      </c>
      <c r="BA55" s="34">
        <f>VLOOKUP($A55,'[1]Init $$'!$B$3:$CG$118,53,FALSE)</f>
        <v>0</v>
      </c>
      <c r="BB55" s="34">
        <f>VLOOKUP($A55,'[1]Init $$'!$B$3:$CG$118,54,FALSE)</f>
        <v>13600</v>
      </c>
      <c r="BC55" s="34">
        <f>VLOOKUP($A55,'[1]Init $$'!$B$3:$CG$118,55,FALSE)</f>
        <v>158024.9</v>
      </c>
      <c r="BD55" s="34">
        <f>VLOOKUP($A55,'[1]Init $$'!$B$3:$CG$118,56,FALSE)</f>
        <v>2545.39</v>
      </c>
      <c r="BE55" s="34">
        <f>VLOOKUP($A55,'[1]Init $$'!$B$3:$CG$118,57,FALSE)</f>
        <v>0</v>
      </c>
      <c r="BF55" s="43">
        <f>'Est gen ed 23 $$'!BF55/'Est gen ed 23 pos'!BF$123</f>
        <v>0</v>
      </c>
      <c r="BG55" s="43">
        <f>'Est gen ed 23 $$'!BG55/'Est gen ed 23 pos'!BG$123</f>
        <v>0</v>
      </c>
      <c r="BH55" s="34">
        <f>VLOOKUP($A55,'[1]Init $$'!$B$3:$CG$118,60,FALSE)</f>
        <v>0</v>
      </c>
      <c r="BI55" s="34">
        <f>VLOOKUP($A55,'[1]Init $$'!$B$3:$CG$118,61,FALSE)</f>
        <v>0</v>
      </c>
      <c r="BJ55" s="34">
        <f>VLOOKUP($A55,'[1]Init $$'!$B$3:$CG$118,62,FALSE)</f>
        <v>0</v>
      </c>
      <c r="BK55" s="43">
        <f>'Est gen ed 23 $$'!BK55/'Est gen ed 23 pos'!BK$123</f>
        <v>0</v>
      </c>
      <c r="BL55" s="34">
        <f>VLOOKUP($A55,'[1]Init $$'!$B$3:$CG$118,64,FALSE)</f>
        <v>0</v>
      </c>
      <c r="BM55" s="43">
        <f>'Est gen ed 23 $$'!BM55/'Est gen ed 23 pos'!BM$123</f>
        <v>0</v>
      </c>
      <c r="BN55" s="34">
        <f>VLOOKUP($A55,'[1]Init $$'!$B$3:$CG$118,66,FALSE)</f>
        <v>0</v>
      </c>
      <c r="BO55" s="43">
        <f>'Est gen ed 23 $$'!BO55/'Est gen ed 23 pos'!BO$123</f>
        <v>0</v>
      </c>
      <c r="BP55" s="34">
        <f>VLOOKUP($A55,'[1]Init $$'!$B$3:$CG$118,68,FALSE)</f>
        <v>0</v>
      </c>
      <c r="BQ55" s="43">
        <f>'Est gen ed 23 $$'!BQ55/'Est gen ed 23 pos'!BQ$123</f>
        <v>0</v>
      </c>
      <c r="BR55" s="43">
        <f>'Est gen ed 23 $$'!BR55/'Est gen ed 23 pos'!BR$123</f>
        <v>0</v>
      </c>
      <c r="BS55" s="34">
        <f>VLOOKUP($A55,'[1]Init $$'!$B$3:$CG$118,71,FALSE)</f>
        <v>0</v>
      </c>
      <c r="BT55" s="34">
        <f>VLOOKUP($A55,'[1]Init $$'!$B$3:$CG$118,72,FALSE)</f>
        <v>0</v>
      </c>
      <c r="BU55" s="34">
        <f>VLOOKUP($A55,'[1]Init $$'!$B$3:$CG$118,73,FALSE)</f>
        <v>15325</v>
      </c>
      <c r="BV55" s="34">
        <f>VLOOKUP($A55,'[1]Init $$'!$B$3:$CG$118,74,FALSE)</f>
        <v>0</v>
      </c>
      <c r="BW55" s="34">
        <f>VLOOKUP($A55,'[1]Init $$'!$B$3:$CG$118,75,FALSE)</f>
        <v>0</v>
      </c>
      <c r="BX55" s="43">
        <f>'Est gen ed 23 $$'!BX55/'Est gen ed 23 pos'!BX$123</f>
        <v>0</v>
      </c>
      <c r="BY55" s="43">
        <f>'Est gen ed 23 $$'!BY55/'Est gen ed 23 pos'!BY$123</f>
        <v>0</v>
      </c>
      <c r="BZ55" s="43">
        <f>'Est gen ed 23 $$'!BZ55/'Est gen ed 23 pos'!BZ$123</f>
        <v>0</v>
      </c>
      <c r="CA55" s="34">
        <f>VLOOKUP($A55,'[1]Init $$'!$B$3:$CG$118,79,FALSE)</f>
        <v>641118.46</v>
      </c>
      <c r="CB55" s="34">
        <f>VLOOKUP($A55,'[1]Init $$'!$B$3:$CG$118,80,FALSE)</f>
        <v>145980.12</v>
      </c>
      <c r="CC55" s="34">
        <f>VLOOKUP($A55,'[1]Init $$'!$B$3:$CG$118,81,FALSE)</f>
        <v>255139.46</v>
      </c>
      <c r="CD55" s="34">
        <f>VLOOKUP($A55,'[1]Init $$'!$B$3:$CG$118,82,FALSE)</f>
        <v>83935.08</v>
      </c>
      <c r="CE55" s="34">
        <f>VLOOKUP($A55,'[1]Init $$'!$B$3:$CG$118,83,FALSE)</f>
        <v>197490.74</v>
      </c>
      <c r="CF55" s="34">
        <f>VLOOKUP($A55,'[1]Init $$'!$B$3:$CG$118,84,FALSE)</f>
        <v>35757.03</v>
      </c>
      <c r="CJ55" s="28">
        <f t="shared" si="2"/>
        <v>3246847.899999212</v>
      </c>
      <c r="CK55" s="43">
        <f>'Est gen ed 23 $$'!CK55/'Est gen ed 23 pos'!CK$123</f>
        <v>0.99999604682144683</v>
      </c>
      <c r="CL55" s="43">
        <f>'Est gen ed 23 $$'!CL55/'Est gen ed 23 pos'!CL$123</f>
        <v>0</v>
      </c>
      <c r="CM55" s="43">
        <f>'Est gen ed 23 $$'!CM55/'Est gen ed 23 pos'!CM$123</f>
        <v>0.5</v>
      </c>
      <c r="CN55" s="43">
        <f>'Est gen ed 23 $$'!CN55/'Est gen ed 23 pos'!CN$123</f>
        <v>0</v>
      </c>
      <c r="CO55" s="43">
        <f>'Est gen ed 23 $$'!CO55/'Est gen ed 23 pos'!CO$123</f>
        <v>0</v>
      </c>
      <c r="CP55" s="43">
        <f>'Est gen ed 23 $$'!CP55/'Est gen ed 23 pos'!CP$123</f>
        <v>0</v>
      </c>
      <c r="CQ55" s="43">
        <f>'Est gen ed 23 $$'!CQ55/'Est gen ed 23 pos'!CQ$123</f>
        <v>0.99999604682144683</v>
      </c>
      <c r="CR55" s="43">
        <f>'Est gen ed 23 $$'!CR55/'Est gen ed 23 pos'!CR$123</f>
        <v>0.99999604682144683</v>
      </c>
      <c r="CS55" s="43">
        <f>'Est gen ed 23 $$'!CS55/'Est gen ed 23 pos'!CS$123</f>
        <v>1.4999940702321701</v>
      </c>
      <c r="CT55" s="43">
        <f>'Est gen ed 23 $$'!CT55/'Est gen ed 23 pos'!CT$123</f>
        <v>3</v>
      </c>
      <c r="CU55" s="43">
        <f>'Est gen ed 23 $$'!CU55/'Est gen ed 23 pos'!CU$123</f>
        <v>14</v>
      </c>
      <c r="CZ55" s="43">
        <f>'Est gen ed 23 $$'!CW55/'Est gen ed 23 pos'!CZ$123</f>
        <v>0</v>
      </c>
      <c r="DB55" s="28">
        <f t="shared" si="3"/>
        <v>1337952</v>
      </c>
      <c r="DC55" s="28">
        <f t="shared" si="0"/>
        <v>572322.31000000006</v>
      </c>
      <c r="DK55" s="34"/>
      <c r="DL55" s="34"/>
    </row>
    <row r="56" spans="1:116" x14ac:dyDescent="0.2">
      <c r="A56">
        <v>272</v>
      </c>
      <c r="B56" t="s">
        <v>73</v>
      </c>
      <c r="C56" t="s">
        <v>7</v>
      </c>
      <c r="D56">
        <v>3</v>
      </c>
      <c r="E56">
        <f>VLOOKUP($A56,'[1]Init $$'!$B$3:$CG$118,4,FALSE)</f>
        <v>350</v>
      </c>
      <c r="F56">
        <f>VLOOKUP($A56,'[1]Init $$'!$B$3:$CG$118,6,FALSE)</f>
        <v>292</v>
      </c>
      <c r="G56">
        <f>VLOOKUP($A56,'[2]$$xSchpostCouncilxLevel'!$A$4:$EW$120,153,FALSE)</f>
        <v>321</v>
      </c>
      <c r="H56" s="50">
        <f t="shared" si="1"/>
        <v>-29</v>
      </c>
      <c r="I56" s="4">
        <f>VLOOKUP($A56,'[1]Init $$'!$B$3:$CG$118,8,FALSE)</f>
        <v>1.7142857142857144E-2</v>
      </c>
      <c r="J56">
        <f>VLOOKUP($A56,'[1]Init $$'!$B$3:$CG$118,7,FALSE)</f>
        <v>6</v>
      </c>
      <c r="K56" s="43">
        <f>'Est gen ed 23 $$'!K56/'Est gen ed 23 pos'!K$123</f>
        <v>1</v>
      </c>
      <c r="L56" s="43">
        <f>'Est gen ed 23 $$'!L56/'Est gen ed 23 pos'!L$123</f>
        <v>0</v>
      </c>
      <c r="M56" s="43">
        <f>'Est gen ed 23 $$'!M56/'Est gen ed 23 pos'!M$123</f>
        <v>0</v>
      </c>
      <c r="N56" s="43">
        <f>'Est gen ed 23 $$'!N56/'Est gen ed 23 pos'!N$123</f>
        <v>1</v>
      </c>
      <c r="O56" s="34">
        <f>VLOOKUP($A56,'[1]Init $$'!$B$3:$CG$118,15,FALSE)</f>
        <v>5904.8</v>
      </c>
      <c r="P56" s="43">
        <f>'Est gen ed 23 $$'!P56/'Est gen ed 23 pos'!P$123</f>
        <v>1</v>
      </c>
      <c r="Q56" s="43">
        <f>'Est gen ed 23 $$'!Q56/'Est gen ed 23 pos'!Q$123</f>
        <v>1</v>
      </c>
      <c r="R56" s="43">
        <f>'Est gen ed 23 $$'!R56/'Est gen ed 23 pos'!R$123</f>
        <v>2.0000001953611113</v>
      </c>
      <c r="S56" s="43">
        <f>'Est gen ed 23 $$'!S56/'Est gen ed 23 pos'!S$123</f>
        <v>1</v>
      </c>
      <c r="T56" s="43">
        <f>'Est gen ed 23 $$'!T56/'Est gen ed 23 pos'!T$123</f>
        <v>0</v>
      </c>
      <c r="U56" s="43">
        <f>'Est gen ed 23 $$'!U56/'Est gen ed 23 pos'!U$123</f>
        <v>0</v>
      </c>
      <c r="V56" s="43">
        <f>'Est gen ed 23 $$'!V56/'Est gen ed 23 pos'!V$123</f>
        <v>2.9999999121515879</v>
      </c>
      <c r="W56" s="43">
        <f>'Est gen ed 23 $$'!W56/'Est gen ed 23 pos'!W$123</f>
        <v>2.9999997446793083</v>
      </c>
      <c r="X56" s="34">
        <f>VLOOKUP($A56,'[1]Init $$'!$B$3:$CG$118,24,FALSE)</f>
        <v>103930.2</v>
      </c>
      <c r="Y56" s="34">
        <f>VLOOKUP($A56,'[1]Init $$'!$B$3:$CG$118,25,FALSE)</f>
        <v>0</v>
      </c>
      <c r="Z56" s="34">
        <f>VLOOKUP($A56,'[1]Init $$'!$B$3:$CG$118,26,FALSE)</f>
        <v>0</v>
      </c>
      <c r="AA56" s="34">
        <f>VLOOKUP($A56,'[1]Init $$'!$B$3:$CG$118,27,FALSE)</f>
        <v>0</v>
      </c>
      <c r="AB56" s="43">
        <f>'Est gen ed 23 $$'!AB56/'Est gen ed 23 pos'!AB$123</f>
        <v>0</v>
      </c>
      <c r="AC56" s="43">
        <f>'Est gen ed 23 $$'!AC56/'Est gen ed 23 pos'!AC$123</f>
        <v>0</v>
      </c>
      <c r="AD56" s="43">
        <f>'Est gen ed 23 $$'!AD56/'Est gen ed 23 pos'!AD$123</f>
        <v>0</v>
      </c>
      <c r="AE56" s="43">
        <f>'Est gen ed 23 $$'!AE56/'Est gen ed 23 pos'!AE$123</f>
        <v>0</v>
      </c>
      <c r="AF56" s="34">
        <f>VLOOKUP($A56,'[1]Init $$'!$B$3:$CG$118,32,FALSE)</f>
        <v>1744116</v>
      </c>
      <c r="AG56" s="34">
        <f>VLOOKUP($A56,'[1]Init $$'!$B$3:$CG$118,33,FALSE)</f>
        <v>113750</v>
      </c>
      <c r="AH56" s="43">
        <f>'Est gen ed 23 $$'!AH56/'Est gen ed 23 pos'!AH$123</f>
        <v>1</v>
      </c>
      <c r="AI56" s="43">
        <f>'Est gen ed 23 $$'!AI56/'Est gen ed 23 pos'!AI$123</f>
        <v>1</v>
      </c>
      <c r="AJ56" s="43">
        <f>'Est gen ed 23 $$'!AJ56/'Est gen ed 23 pos'!AJ$123</f>
        <v>2.9999999121515879</v>
      </c>
      <c r="AK56" s="43">
        <f>'Est gen ed 23 $$'!AK56/'Est gen ed 23 pos'!AK$123</f>
        <v>0</v>
      </c>
      <c r="AL56" s="43">
        <f>'Est gen ed 23 $$'!AL56/'Est gen ed 23 pos'!AL$123</f>
        <v>0</v>
      </c>
      <c r="AM56" s="43">
        <f>'Est gen ed 23 $$'!AM56/'Est gen ed 23 pos'!AM$123</f>
        <v>0</v>
      </c>
      <c r="AN56" s="43">
        <f>'Est gen ed 23 $$'!AN56/'Est gen ed 23 pos'!AN$123</f>
        <v>0</v>
      </c>
      <c r="AO56" s="43">
        <f>'Est gen ed 23 $$'!AO56/'Est gen ed 23 pos'!AO$123</f>
        <v>0</v>
      </c>
      <c r="AP56" s="34">
        <f>VLOOKUP($A56,'[1]Init $$'!$B$3:$CG$118,42,FALSE)</f>
        <v>35838</v>
      </c>
      <c r="AQ56" s="34">
        <f>VLOOKUP($A56,'[1]Init $$'!$B$3:$CG$118,43,FALSE)</f>
        <v>0</v>
      </c>
      <c r="AR56" s="43">
        <f>'Est gen ed 23 $$'!AR56/'Est gen ed 23 pos'!AR$123</f>
        <v>1.4999999560757939</v>
      </c>
      <c r="AS56" s="43">
        <f>'Est gen ed 23 $$'!AS56/'Est gen ed 23 pos'!AS$123</f>
        <v>0</v>
      </c>
      <c r="AT56" s="43">
        <f>'Est gen ed 23 $$'!AT56/'Est gen ed 23 pos'!AT$123</f>
        <v>0</v>
      </c>
      <c r="AU56" s="34">
        <f>VLOOKUP($A56,'[1]Init $$'!$B$3:$CG$118,47,FALSE)</f>
        <v>43005.599999999999</v>
      </c>
      <c r="AV56" s="34">
        <f>VLOOKUP($A56,'[1]Init $$'!$B$3:$CG$118,48,FALSE)</f>
        <v>0</v>
      </c>
      <c r="AW56" s="34">
        <f>VLOOKUP($A56,'[1]Init $$'!$B$3:$CG$118,49,FALSE)</f>
        <v>0</v>
      </c>
      <c r="AX56" s="34">
        <f>VLOOKUP($A56,'[1]Init $$'!$B$3:$CG$118,50,FALSE)</f>
        <v>0</v>
      </c>
      <c r="AY56" s="34">
        <f>VLOOKUP($A56,'[1]Init $$'!$B$3:$CG$118,51,FALSE)</f>
        <v>0</v>
      </c>
      <c r="AZ56" s="34">
        <f>VLOOKUP($A56,'[1]Init $$'!$B$3:$CG$118,52,FALSE)</f>
        <v>0</v>
      </c>
      <c r="BA56" s="34">
        <f>VLOOKUP($A56,'[1]Init $$'!$B$3:$CG$118,53,FALSE)</f>
        <v>0</v>
      </c>
      <c r="BB56" s="34">
        <f>VLOOKUP($A56,'[1]Init $$'!$B$3:$CG$118,54,FALSE)</f>
        <v>0</v>
      </c>
      <c r="BC56" s="34">
        <f>VLOOKUP($A56,'[1]Init $$'!$B$3:$CG$118,55,FALSE)</f>
        <v>0</v>
      </c>
      <c r="BD56" s="34">
        <f>VLOOKUP($A56,'[1]Init $$'!$B$3:$CG$118,56,FALSE)</f>
        <v>0</v>
      </c>
      <c r="BE56" s="34">
        <f>VLOOKUP($A56,'[1]Init $$'!$B$3:$CG$118,57,FALSE)</f>
        <v>8750</v>
      </c>
      <c r="BF56" s="43">
        <f>'Est gen ed 23 $$'!BF56/'Est gen ed 23 pos'!BF$123</f>
        <v>0</v>
      </c>
      <c r="BG56" s="43">
        <f>'Est gen ed 23 $$'!BG56/'Est gen ed 23 pos'!BG$123</f>
        <v>0</v>
      </c>
      <c r="BH56" s="34">
        <f>VLOOKUP($A56,'[1]Init $$'!$B$3:$CG$118,60,FALSE)</f>
        <v>0</v>
      </c>
      <c r="BI56" s="34">
        <f>VLOOKUP($A56,'[1]Init $$'!$B$3:$CG$118,61,FALSE)</f>
        <v>0</v>
      </c>
      <c r="BJ56" s="34">
        <f>VLOOKUP($A56,'[1]Init $$'!$B$3:$CG$118,62,FALSE)</f>
        <v>0</v>
      </c>
      <c r="BK56" s="43">
        <f>'Est gen ed 23 $$'!BK56/'Est gen ed 23 pos'!BK$123</f>
        <v>0</v>
      </c>
      <c r="BL56" s="34">
        <f>VLOOKUP($A56,'[1]Init $$'!$B$3:$CG$118,64,FALSE)</f>
        <v>0</v>
      </c>
      <c r="BM56" s="43">
        <f>'Est gen ed 23 $$'!BM56/'Est gen ed 23 pos'!BM$123</f>
        <v>0</v>
      </c>
      <c r="BN56" s="34">
        <f>VLOOKUP($A56,'[1]Init $$'!$B$3:$CG$118,66,FALSE)</f>
        <v>0</v>
      </c>
      <c r="BO56" s="43">
        <f>'Est gen ed 23 $$'!BO56/'Est gen ed 23 pos'!BO$123</f>
        <v>0</v>
      </c>
      <c r="BP56" s="34">
        <f>VLOOKUP($A56,'[1]Init $$'!$B$3:$CG$118,68,FALSE)</f>
        <v>0</v>
      </c>
      <c r="BQ56" s="43">
        <f>'Est gen ed 23 $$'!BQ56/'Est gen ed 23 pos'!BQ$123</f>
        <v>0</v>
      </c>
      <c r="BR56" s="43">
        <f>'Est gen ed 23 $$'!BR56/'Est gen ed 23 pos'!BR$123</f>
        <v>0</v>
      </c>
      <c r="BS56" s="34">
        <f>VLOOKUP($A56,'[1]Init $$'!$B$3:$CG$118,71,FALSE)</f>
        <v>0</v>
      </c>
      <c r="BT56" s="34">
        <f>VLOOKUP($A56,'[1]Init $$'!$B$3:$CG$118,72,FALSE)</f>
        <v>0</v>
      </c>
      <c r="BU56" s="34">
        <f>VLOOKUP($A56,'[1]Init $$'!$B$3:$CG$118,73,FALSE)</f>
        <v>0</v>
      </c>
      <c r="BV56" s="34">
        <f>VLOOKUP($A56,'[1]Init $$'!$B$3:$CG$118,74,FALSE)</f>
        <v>0</v>
      </c>
      <c r="BW56" s="34">
        <f>VLOOKUP($A56,'[1]Init $$'!$B$3:$CG$118,75,FALSE)</f>
        <v>0</v>
      </c>
      <c r="BX56" s="43">
        <f>'Est gen ed 23 $$'!BX56/'Est gen ed 23 pos'!BX$123</f>
        <v>0</v>
      </c>
      <c r="BY56" s="43">
        <f>'Est gen ed 23 $$'!BY56/'Est gen ed 23 pos'!BY$123</f>
        <v>0</v>
      </c>
      <c r="BZ56" s="43">
        <f>'Est gen ed 23 $$'!BZ56/'Est gen ed 23 pos'!BZ$123</f>
        <v>0</v>
      </c>
      <c r="CA56" s="34">
        <f>VLOOKUP($A56,'[1]Init $$'!$B$3:$CG$118,79,FALSE)</f>
        <v>16095.02</v>
      </c>
      <c r="CB56" s="34">
        <f>VLOOKUP($A56,'[1]Init $$'!$B$3:$CG$118,80,FALSE)</f>
        <v>0</v>
      </c>
      <c r="CC56" s="34">
        <f>VLOOKUP($A56,'[1]Init $$'!$B$3:$CG$118,81,FALSE)</f>
        <v>221765.56</v>
      </c>
      <c r="CD56" s="34">
        <f>VLOOKUP($A56,'[1]Init $$'!$B$3:$CG$118,82,FALSE)</f>
        <v>119964.12</v>
      </c>
      <c r="CE56" s="34">
        <f>VLOOKUP($A56,'[1]Init $$'!$B$3:$CG$118,83,FALSE)</f>
        <v>61890.71</v>
      </c>
      <c r="CF56" s="34">
        <f>VLOOKUP($A56,'[1]Init $$'!$B$3:$CG$118,84,FALSE)</f>
        <v>255164.22</v>
      </c>
      <c r="CJ56" s="28">
        <f t="shared" si="2"/>
        <v>2730193.7299997206</v>
      </c>
      <c r="CK56" s="43">
        <f>'Est gen ed 23 $$'!CK56/'Est gen ed 23 pos'!CK$123</f>
        <v>0.99999604682144683</v>
      </c>
      <c r="CL56" s="43">
        <f>'Est gen ed 23 $$'!CL56/'Est gen ed 23 pos'!CL$123</f>
        <v>0.875</v>
      </c>
      <c r="CM56" s="43">
        <f>'Est gen ed 23 $$'!CM56/'Est gen ed 23 pos'!CM$123</f>
        <v>1</v>
      </c>
      <c r="CN56" s="43">
        <f>'Est gen ed 23 $$'!CN56/'Est gen ed 23 pos'!CN$123</f>
        <v>0</v>
      </c>
      <c r="CO56" s="43">
        <f>'Est gen ed 23 $$'!CO56/'Est gen ed 23 pos'!CO$123</f>
        <v>0</v>
      </c>
      <c r="CP56" s="43">
        <f>'Est gen ed 23 $$'!CP56/'Est gen ed 23 pos'!CP$123</f>
        <v>0</v>
      </c>
      <c r="CQ56" s="43">
        <f>'Est gen ed 23 $$'!CQ56/'Est gen ed 23 pos'!CQ$123</f>
        <v>0.99999604682144683</v>
      </c>
      <c r="CR56" s="43">
        <f>'Est gen ed 23 $$'!CR56/'Est gen ed 23 pos'!CR$123</f>
        <v>0.99999604682144683</v>
      </c>
      <c r="CS56" s="43">
        <f>'Est gen ed 23 $$'!CS56/'Est gen ed 23 pos'!CS$123</f>
        <v>1.4999940702321701</v>
      </c>
      <c r="CT56" s="43">
        <f>'Est gen ed 23 $$'!CT56/'Est gen ed 23 pos'!CT$123</f>
        <v>3</v>
      </c>
      <c r="CU56" s="43">
        <f>'Est gen ed 23 $$'!CU56/'Est gen ed 23 pos'!CU$123</f>
        <v>16</v>
      </c>
      <c r="CZ56" s="43">
        <f>'Est gen ed 23 $$'!CW56/'Est gen ed 23 pos'!CZ$123</f>
        <v>0</v>
      </c>
      <c r="DB56" s="28">
        <f t="shared" si="3"/>
        <v>1744116</v>
      </c>
      <c r="DC56" s="28">
        <f t="shared" si="0"/>
        <v>658784.61</v>
      </c>
      <c r="DK56" s="34"/>
      <c r="DL56" s="34"/>
    </row>
    <row r="57" spans="1:116" x14ac:dyDescent="0.2">
      <c r="A57">
        <v>259</v>
      </c>
      <c r="B57" t="s">
        <v>72</v>
      </c>
      <c r="C57" t="s">
        <v>7</v>
      </c>
      <c r="D57">
        <v>7</v>
      </c>
      <c r="E57">
        <f>VLOOKUP($A57,'[1]Init $$'!$B$3:$CG$118,4,FALSE)</f>
        <v>427</v>
      </c>
      <c r="F57">
        <f>VLOOKUP($A57,'[1]Init $$'!$B$3:$CG$118,6,FALSE)</f>
        <v>354</v>
      </c>
      <c r="G57">
        <f>VLOOKUP($A57,'[2]$$xSchpostCouncilxLevel'!$A$4:$EW$120,153,FALSE)</f>
        <v>318</v>
      </c>
      <c r="H57" s="50">
        <f t="shared" si="1"/>
        <v>36</v>
      </c>
      <c r="I57" s="4">
        <f>VLOOKUP($A57,'[1]Init $$'!$B$3:$CG$118,8,FALSE)</f>
        <v>0.78454332552693207</v>
      </c>
      <c r="J57">
        <f>VLOOKUP($A57,'[1]Init $$'!$B$3:$CG$118,7,FALSE)</f>
        <v>335</v>
      </c>
      <c r="K57" s="43">
        <f>'Est gen ed 23 $$'!K57/'Est gen ed 23 pos'!K$123</f>
        <v>1</v>
      </c>
      <c r="L57" s="43">
        <f>'Est gen ed 23 $$'!L57/'Est gen ed 23 pos'!L$123</f>
        <v>0</v>
      </c>
      <c r="M57" s="43">
        <f>'Est gen ed 23 $$'!M57/'Est gen ed 23 pos'!M$123</f>
        <v>0</v>
      </c>
      <c r="N57" s="43">
        <f>'Est gen ed 23 $$'!N57/'Est gen ed 23 pos'!N$123</f>
        <v>1</v>
      </c>
      <c r="O57" s="34">
        <f>VLOOKUP($A57,'[1]Init $$'!$B$3:$CG$118,15,FALSE)</f>
        <v>7388.4</v>
      </c>
      <c r="P57" s="43">
        <f>'Est gen ed 23 $$'!P57/'Est gen ed 23 pos'!P$123</f>
        <v>1</v>
      </c>
      <c r="Q57" s="43">
        <f>'Est gen ed 23 $$'!Q57/'Est gen ed 23 pos'!Q$123</f>
        <v>1</v>
      </c>
      <c r="R57" s="43">
        <f>'Est gen ed 23 $$'!R57/'Est gen ed 23 pos'!R$123</f>
        <v>2.0000001953611113</v>
      </c>
      <c r="S57" s="43">
        <f>'Est gen ed 23 $$'!S57/'Est gen ed 23 pos'!S$123</f>
        <v>1</v>
      </c>
      <c r="T57" s="43">
        <f>'Est gen ed 23 $$'!T57/'Est gen ed 23 pos'!T$123</f>
        <v>1.9999999121515879</v>
      </c>
      <c r="U57" s="43">
        <f>'Est gen ed 23 $$'!U57/'Est gen ed 23 pos'!U$123</f>
        <v>1</v>
      </c>
      <c r="V57" s="43">
        <f>'Est gen ed 23 $$'!V57/'Est gen ed 23 pos'!V$123</f>
        <v>1.9999999121515879</v>
      </c>
      <c r="W57" s="43">
        <f>'Est gen ed 23 $$'!W57/'Est gen ed 23 pos'!W$123</f>
        <v>4.9999994893586166</v>
      </c>
      <c r="X57" s="34">
        <f>VLOOKUP($A57,'[1]Init $$'!$B$3:$CG$118,24,FALSE)</f>
        <v>130808.7</v>
      </c>
      <c r="Y57" s="34">
        <f>VLOOKUP($A57,'[1]Init $$'!$B$3:$CG$118,25,FALSE)</f>
        <v>0</v>
      </c>
      <c r="Z57" s="34">
        <f>VLOOKUP($A57,'[1]Init $$'!$B$3:$CG$118,26,FALSE)</f>
        <v>0</v>
      </c>
      <c r="AA57" s="34">
        <f>VLOOKUP($A57,'[1]Init $$'!$B$3:$CG$118,27,FALSE)</f>
        <v>0</v>
      </c>
      <c r="AB57" s="43">
        <f>'Est gen ed 23 $$'!AB57/'Est gen ed 23 pos'!AB$123</f>
        <v>0</v>
      </c>
      <c r="AC57" s="43">
        <f>'Est gen ed 23 $$'!AC57/'Est gen ed 23 pos'!AC$123</f>
        <v>0</v>
      </c>
      <c r="AD57" s="43">
        <f>'Est gen ed 23 $$'!AD57/'Est gen ed 23 pos'!AD$123</f>
        <v>0</v>
      </c>
      <c r="AE57" s="43">
        <f>'Est gen ed 23 $$'!AE57/'Est gen ed 23 pos'!AE$123</f>
        <v>0</v>
      </c>
      <c r="AF57" s="34">
        <f>VLOOKUP($A57,'[1]Init $$'!$B$3:$CG$118,32,FALSE)</f>
        <v>2114442</v>
      </c>
      <c r="AG57" s="34">
        <f>VLOOKUP($A57,'[1]Init $$'!$B$3:$CG$118,33,FALSE)</f>
        <v>138775</v>
      </c>
      <c r="AH57" s="43">
        <f>'Est gen ed 23 $$'!AH57/'Est gen ed 23 pos'!AH$123</f>
        <v>1</v>
      </c>
      <c r="AI57" s="43">
        <f>'Est gen ed 23 $$'!AI57/'Est gen ed 23 pos'!AI$123</f>
        <v>1.9999999121515879</v>
      </c>
      <c r="AJ57" s="43">
        <f>'Est gen ed 23 $$'!AJ57/'Est gen ed 23 pos'!AJ$123</f>
        <v>3.9999998243031758</v>
      </c>
      <c r="AK57" s="43">
        <f>'Est gen ed 23 $$'!AK57/'Est gen ed 23 pos'!AK$123</f>
        <v>0</v>
      </c>
      <c r="AL57" s="43">
        <f>'Est gen ed 23 $$'!AL57/'Est gen ed 23 pos'!AL$123</f>
        <v>0</v>
      </c>
      <c r="AM57" s="43">
        <f>'Est gen ed 23 $$'!AM57/'Est gen ed 23 pos'!AM$123</f>
        <v>0</v>
      </c>
      <c r="AN57" s="43">
        <f>'Est gen ed 23 $$'!AN57/'Est gen ed 23 pos'!AN$123</f>
        <v>0</v>
      </c>
      <c r="AO57" s="43">
        <f>'Est gen ed 23 $$'!AO57/'Est gen ed 23 pos'!AO$123</f>
        <v>0</v>
      </c>
      <c r="AP57" s="34">
        <f>VLOOKUP($A57,'[1]Init $$'!$B$3:$CG$118,42,FALSE)</f>
        <v>96762.6</v>
      </c>
      <c r="AQ57" s="34">
        <f>VLOOKUP($A57,'[1]Init $$'!$B$3:$CG$118,43,FALSE)</f>
        <v>0</v>
      </c>
      <c r="AR57" s="43">
        <f>'Est gen ed 23 $$'!AR57/'Est gen ed 23 pos'!AR$123</f>
        <v>0</v>
      </c>
      <c r="AS57" s="43">
        <f>'Est gen ed 23 $$'!AS57/'Est gen ed 23 pos'!AS$123</f>
        <v>8.9999995607579389E-2</v>
      </c>
      <c r="AT57" s="43">
        <f>'Est gen ed 23 $$'!AT57/'Est gen ed 23 pos'!AT$123</f>
        <v>0</v>
      </c>
      <c r="AU57" s="34">
        <f>VLOOKUP($A57,'[1]Init $$'!$B$3:$CG$118,47,FALSE)</f>
        <v>3583.8</v>
      </c>
      <c r="AV57" s="34">
        <f>VLOOKUP($A57,'[1]Init $$'!$B$3:$CG$118,48,FALSE)</f>
        <v>20400</v>
      </c>
      <c r="AW57" s="34">
        <f>VLOOKUP($A57,'[1]Init $$'!$B$3:$CG$118,49,FALSE)</f>
        <v>20400</v>
      </c>
      <c r="AX57" s="34">
        <f>VLOOKUP($A57,'[1]Init $$'!$B$3:$CG$118,50,FALSE)</f>
        <v>10200</v>
      </c>
      <c r="AY57" s="34">
        <f>VLOOKUP($A57,'[1]Init $$'!$B$3:$CG$118,51,FALSE)</f>
        <v>0</v>
      </c>
      <c r="AZ57" s="34">
        <f>VLOOKUP($A57,'[1]Init $$'!$B$3:$CG$118,52,FALSE)</f>
        <v>20400</v>
      </c>
      <c r="BA57" s="34">
        <f>VLOOKUP($A57,'[1]Init $$'!$B$3:$CG$118,53,FALSE)</f>
        <v>0</v>
      </c>
      <c r="BB57" s="34">
        <f>VLOOKUP($A57,'[1]Init $$'!$B$3:$CG$118,54,FALSE)</f>
        <v>20400</v>
      </c>
      <c r="BC57" s="34">
        <f>VLOOKUP($A57,'[1]Init $$'!$B$3:$CG$118,55,FALSE)</f>
        <v>231084.36</v>
      </c>
      <c r="BD57" s="34">
        <f>VLOOKUP($A57,'[1]Init $$'!$B$3:$CG$118,56,FALSE)</f>
        <v>3722.2</v>
      </c>
      <c r="BE57" s="34">
        <f>VLOOKUP($A57,'[1]Init $$'!$B$3:$CG$118,57,FALSE)</f>
        <v>0</v>
      </c>
      <c r="BF57" s="43">
        <f>'Est gen ed 23 $$'!BF57/'Est gen ed 23 pos'!BF$123</f>
        <v>0</v>
      </c>
      <c r="BG57" s="43">
        <f>'Est gen ed 23 $$'!BG57/'Est gen ed 23 pos'!BG$123</f>
        <v>0</v>
      </c>
      <c r="BH57" s="34">
        <f>VLOOKUP($A57,'[1]Init $$'!$B$3:$CG$118,60,FALSE)</f>
        <v>0</v>
      </c>
      <c r="BI57" s="34">
        <f>VLOOKUP($A57,'[1]Init $$'!$B$3:$CG$118,61,FALSE)</f>
        <v>0</v>
      </c>
      <c r="BJ57" s="34">
        <f>VLOOKUP($A57,'[1]Init $$'!$B$3:$CG$118,62,FALSE)</f>
        <v>0</v>
      </c>
      <c r="BK57" s="43">
        <f>'Est gen ed 23 $$'!BK57/'Est gen ed 23 pos'!BK$123</f>
        <v>0</v>
      </c>
      <c r="BL57" s="34">
        <f>VLOOKUP($A57,'[1]Init $$'!$B$3:$CG$118,64,FALSE)</f>
        <v>0</v>
      </c>
      <c r="BM57" s="43">
        <f>'Est gen ed 23 $$'!BM57/'Est gen ed 23 pos'!BM$123</f>
        <v>0</v>
      </c>
      <c r="BN57" s="34">
        <f>VLOOKUP($A57,'[1]Init $$'!$B$3:$CG$118,66,FALSE)</f>
        <v>0</v>
      </c>
      <c r="BO57" s="43">
        <f>'Est gen ed 23 $$'!BO57/'Est gen ed 23 pos'!BO$123</f>
        <v>0</v>
      </c>
      <c r="BP57" s="34">
        <f>VLOOKUP($A57,'[1]Init $$'!$B$3:$CG$118,68,FALSE)</f>
        <v>0</v>
      </c>
      <c r="BQ57" s="43">
        <f>'Est gen ed 23 $$'!BQ57/'Est gen ed 23 pos'!BQ$123</f>
        <v>0</v>
      </c>
      <c r="BR57" s="43">
        <f>'Est gen ed 23 $$'!BR57/'Est gen ed 23 pos'!BR$123</f>
        <v>0</v>
      </c>
      <c r="BS57" s="34">
        <f>VLOOKUP($A57,'[1]Init $$'!$B$3:$CG$118,71,FALSE)</f>
        <v>0</v>
      </c>
      <c r="BT57" s="34">
        <f>VLOOKUP($A57,'[1]Init $$'!$B$3:$CG$118,72,FALSE)</f>
        <v>0</v>
      </c>
      <c r="BU57" s="34">
        <f>VLOOKUP($A57,'[1]Init $$'!$B$3:$CG$118,73,FALSE)</f>
        <v>0</v>
      </c>
      <c r="BV57" s="34">
        <f>VLOOKUP($A57,'[1]Init $$'!$B$3:$CG$118,74,FALSE)</f>
        <v>0</v>
      </c>
      <c r="BW57" s="34">
        <f>VLOOKUP($A57,'[1]Init $$'!$B$3:$CG$118,75,FALSE)</f>
        <v>0</v>
      </c>
      <c r="BX57" s="43">
        <f>'Est gen ed 23 $$'!BX57/'Est gen ed 23 pos'!BX$123</f>
        <v>0</v>
      </c>
      <c r="BY57" s="43">
        <f>'Est gen ed 23 $$'!BY57/'Est gen ed 23 pos'!BY$123</f>
        <v>0</v>
      </c>
      <c r="BZ57" s="43">
        <f>'Est gen ed 23 $$'!BZ57/'Est gen ed 23 pos'!BZ$123</f>
        <v>0</v>
      </c>
      <c r="CA57" s="34">
        <f>VLOOKUP($A57,'[1]Init $$'!$B$3:$CG$118,79,FALSE)</f>
        <v>898638.84</v>
      </c>
      <c r="CB57" s="34">
        <f>VLOOKUP($A57,'[1]Init $$'!$B$3:$CG$118,80,FALSE)</f>
        <v>196153.32</v>
      </c>
      <c r="CC57" s="34">
        <f>VLOOKUP($A57,'[1]Init $$'!$B$3:$CG$118,81,FALSE)</f>
        <v>0</v>
      </c>
      <c r="CD57" s="34">
        <f>VLOOKUP($A57,'[1]Init $$'!$B$3:$CG$118,82,FALSE)</f>
        <v>0</v>
      </c>
      <c r="CE57" s="34">
        <f>VLOOKUP($A57,'[1]Init $$'!$B$3:$CG$118,83,FALSE)</f>
        <v>231668.36</v>
      </c>
      <c r="CF57" s="34">
        <f>VLOOKUP($A57,'[1]Init $$'!$B$3:$CG$118,84,FALSE)</f>
        <v>0</v>
      </c>
      <c r="CJ57" s="28">
        <f t="shared" si="2"/>
        <v>4144851.6699992404</v>
      </c>
      <c r="CK57" s="43">
        <f>'Est gen ed 23 $$'!CK57/'Est gen ed 23 pos'!CK$123</f>
        <v>0.99999604682144683</v>
      </c>
      <c r="CL57" s="43">
        <f>'Est gen ed 23 $$'!CL57/'Est gen ed 23 pos'!CL$123</f>
        <v>1.0674999999999999</v>
      </c>
      <c r="CM57" s="43">
        <f>'Est gen ed 23 $$'!CM57/'Est gen ed 23 pos'!CM$123</f>
        <v>1</v>
      </c>
      <c r="CN57" s="43">
        <f>'Est gen ed 23 $$'!CN57/'Est gen ed 23 pos'!CN$123</f>
        <v>0.93676814988290402</v>
      </c>
      <c r="CO57" s="43">
        <f>'Est gen ed 23 $$'!CO57/'Est gen ed 23 pos'!CO$123</f>
        <v>0</v>
      </c>
      <c r="CP57" s="43">
        <f>'Est gen ed 23 $$'!CP57/'Est gen ed 23 pos'!CP$123</f>
        <v>0</v>
      </c>
      <c r="CQ57" s="43">
        <f>'Est gen ed 23 $$'!CQ57/'Est gen ed 23 pos'!CQ$123</f>
        <v>0.99999604682144683</v>
      </c>
      <c r="CR57" s="43">
        <f>'Est gen ed 23 $$'!CR57/'Est gen ed 23 pos'!CR$123</f>
        <v>0.99999604682144683</v>
      </c>
      <c r="CS57" s="43">
        <f>'Est gen ed 23 $$'!CS57/'Est gen ed 23 pos'!CS$123</f>
        <v>1.9999920936428937</v>
      </c>
      <c r="CT57" s="43">
        <f>'Est gen ed 23 $$'!CT57/'Est gen ed 23 pos'!CT$123</f>
        <v>2</v>
      </c>
      <c r="CU57" s="43">
        <f>'Est gen ed 23 $$'!CU57/'Est gen ed 23 pos'!CU$123</f>
        <v>18</v>
      </c>
      <c r="CZ57" s="43">
        <f>'Est gen ed 23 $$'!CW57/'Est gen ed 23 pos'!CZ$123</f>
        <v>0</v>
      </c>
      <c r="DB57" s="28">
        <f t="shared" si="3"/>
        <v>2114442</v>
      </c>
      <c r="DC57" s="28">
        <f t="shared" si="0"/>
        <v>231668.36</v>
      </c>
      <c r="DK57" s="34"/>
      <c r="DL57" s="34"/>
    </row>
    <row r="58" spans="1:116" x14ac:dyDescent="0.2">
      <c r="A58">
        <v>344</v>
      </c>
      <c r="B58" t="s">
        <v>71</v>
      </c>
      <c r="C58" t="s">
        <v>7</v>
      </c>
      <c r="D58">
        <v>8</v>
      </c>
      <c r="E58">
        <f>VLOOKUP($A58,'[1]Init $$'!$B$3:$CG$118,4,FALSE)</f>
        <v>218</v>
      </c>
      <c r="F58">
        <f>VLOOKUP($A58,'[1]Init $$'!$B$3:$CG$118,6,FALSE)</f>
        <v>164</v>
      </c>
      <c r="G58">
        <f>VLOOKUP($A58,'[2]$$xSchpostCouncilxLevel'!$A$4:$EW$120,153,FALSE)</f>
        <v>213</v>
      </c>
      <c r="H58" s="50">
        <f t="shared" si="1"/>
        <v>-49</v>
      </c>
      <c r="I58" s="4">
        <f>VLOOKUP($A58,'[1]Init $$'!$B$3:$CG$118,8,FALSE)</f>
        <v>0.83944954128440363</v>
      </c>
      <c r="J58">
        <f>VLOOKUP($A58,'[1]Init $$'!$B$3:$CG$118,7,FALSE)</f>
        <v>183</v>
      </c>
      <c r="K58" s="43">
        <f>'Est gen ed 23 $$'!K58/'Est gen ed 23 pos'!K$123</f>
        <v>1</v>
      </c>
      <c r="L58" s="43">
        <f>'Est gen ed 23 $$'!L58/'Est gen ed 23 pos'!L$123</f>
        <v>0</v>
      </c>
      <c r="M58" s="43">
        <f>'Est gen ed 23 $$'!M58/'Est gen ed 23 pos'!M$123</f>
        <v>0</v>
      </c>
      <c r="N58" s="43">
        <f>'Est gen ed 23 $$'!N58/'Est gen ed 23 pos'!N$123</f>
        <v>1</v>
      </c>
      <c r="O58" s="34">
        <f>VLOOKUP($A58,'[1]Init $$'!$B$3:$CG$118,15,FALSE)</f>
        <v>5387.95</v>
      </c>
      <c r="P58" s="43">
        <f>'Est gen ed 23 $$'!P58/'Est gen ed 23 pos'!P$123</f>
        <v>1</v>
      </c>
      <c r="Q58" s="43">
        <f>'Est gen ed 23 $$'!Q58/'Est gen ed 23 pos'!Q$123</f>
        <v>1</v>
      </c>
      <c r="R58" s="43">
        <f>'Est gen ed 23 $$'!R58/'Est gen ed 23 pos'!R$123</f>
        <v>1</v>
      </c>
      <c r="S58" s="43">
        <f>'Est gen ed 23 $$'!S58/'Est gen ed 23 pos'!S$123</f>
        <v>1</v>
      </c>
      <c r="T58" s="43">
        <f>'Est gen ed 23 $$'!T58/'Est gen ed 23 pos'!T$123</f>
        <v>1.9999999121515879</v>
      </c>
      <c r="U58" s="43">
        <f>'Est gen ed 23 $$'!U58/'Est gen ed 23 pos'!U$123</f>
        <v>0</v>
      </c>
      <c r="V58" s="43">
        <f>'Est gen ed 23 $$'!V58/'Est gen ed 23 pos'!V$123</f>
        <v>2.9999999121515879</v>
      </c>
      <c r="W58" s="43">
        <f>'Est gen ed 23 $$'!W58/'Est gen ed 23 pos'!W$123</f>
        <v>4.9999994893586166</v>
      </c>
      <c r="X58" s="34">
        <f>VLOOKUP($A58,'[1]Init $$'!$B$3:$CG$118,24,FALSE)</f>
        <v>96762.6</v>
      </c>
      <c r="Y58" s="34">
        <f>VLOOKUP($A58,'[1]Init $$'!$B$3:$CG$118,25,FALSE)</f>
        <v>0</v>
      </c>
      <c r="Z58" s="34">
        <f>VLOOKUP($A58,'[1]Init $$'!$B$3:$CG$118,26,FALSE)</f>
        <v>0</v>
      </c>
      <c r="AA58" s="34">
        <f>VLOOKUP($A58,'[1]Init $$'!$B$3:$CG$118,27,FALSE)</f>
        <v>0</v>
      </c>
      <c r="AB58" s="43">
        <f>'Est gen ed 23 $$'!AB58/'Est gen ed 23 pos'!AB$123</f>
        <v>0</v>
      </c>
      <c r="AC58" s="43">
        <f>'Est gen ed 23 $$'!AC58/'Est gen ed 23 pos'!AC$123</f>
        <v>0</v>
      </c>
      <c r="AD58" s="43">
        <f>'Est gen ed 23 $$'!AD58/'Est gen ed 23 pos'!AD$123</f>
        <v>0</v>
      </c>
      <c r="AE58" s="43">
        <f>'Est gen ed 23 $$'!AE58/'Est gen ed 23 pos'!AE$123</f>
        <v>0</v>
      </c>
      <c r="AF58" s="34">
        <f>VLOOKUP($A58,'[1]Init $$'!$B$3:$CG$118,32,FALSE)</f>
        <v>979572</v>
      </c>
      <c r="AG58" s="34">
        <f>VLOOKUP($A58,'[1]Init $$'!$B$3:$CG$118,33,FALSE)</f>
        <v>70850</v>
      </c>
      <c r="AH58" s="43">
        <f>'Est gen ed 23 $$'!AH58/'Est gen ed 23 pos'!AH$123</f>
        <v>1</v>
      </c>
      <c r="AI58" s="43">
        <f>'Est gen ed 23 $$'!AI58/'Est gen ed 23 pos'!AI$123</f>
        <v>1</v>
      </c>
      <c r="AJ58" s="43">
        <f>'Est gen ed 23 $$'!AJ58/'Est gen ed 23 pos'!AJ$123</f>
        <v>2.9999999121515879</v>
      </c>
      <c r="AK58" s="43">
        <f>'Est gen ed 23 $$'!AK58/'Est gen ed 23 pos'!AK$123</f>
        <v>2.9999999121515879</v>
      </c>
      <c r="AL58" s="43">
        <f>'Est gen ed 23 $$'!AL58/'Est gen ed 23 pos'!AL$123</f>
        <v>5.9999994893586166</v>
      </c>
      <c r="AM58" s="43">
        <f>'Est gen ed 23 $$'!AM58/'Est gen ed 23 pos'!AM$123</f>
        <v>0</v>
      </c>
      <c r="AN58" s="43">
        <f>'Est gen ed 23 $$'!AN58/'Est gen ed 23 pos'!AN$123</f>
        <v>0</v>
      </c>
      <c r="AO58" s="43">
        <f>'Est gen ed 23 $$'!AO58/'Est gen ed 23 pos'!AO$123</f>
        <v>0</v>
      </c>
      <c r="AP58" s="34">
        <f>VLOOKUP($A58,'[1]Init $$'!$B$3:$CG$118,42,FALSE)</f>
        <v>86011.199999999997</v>
      </c>
      <c r="AQ58" s="34">
        <f>VLOOKUP($A58,'[1]Init $$'!$B$3:$CG$118,43,FALSE)</f>
        <v>0</v>
      </c>
      <c r="AR58" s="43">
        <f>'Est gen ed 23 $$'!AR58/'Est gen ed 23 pos'!AR$123</f>
        <v>0</v>
      </c>
      <c r="AS58" s="43">
        <f>'Est gen ed 23 $$'!AS58/'Est gen ed 23 pos'!AS$123</f>
        <v>8.9999995607579389E-2</v>
      </c>
      <c r="AT58" s="43">
        <f>'Est gen ed 23 $$'!AT58/'Est gen ed 23 pos'!AT$123</f>
        <v>0</v>
      </c>
      <c r="AU58" s="34">
        <f>VLOOKUP($A58,'[1]Init $$'!$B$3:$CG$118,47,FALSE)</f>
        <v>3583.8</v>
      </c>
      <c r="AV58" s="34">
        <f>VLOOKUP($A58,'[1]Init $$'!$B$3:$CG$118,48,FALSE)</f>
        <v>13600</v>
      </c>
      <c r="AW58" s="34">
        <f>VLOOKUP($A58,'[1]Init $$'!$B$3:$CG$118,49,FALSE)</f>
        <v>13600</v>
      </c>
      <c r="AX58" s="34">
        <f>VLOOKUP($A58,'[1]Init $$'!$B$3:$CG$118,50,FALSE)</f>
        <v>10200</v>
      </c>
      <c r="AY58" s="34">
        <f>VLOOKUP($A58,'[1]Init $$'!$B$3:$CG$118,51,FALSE)</f>
        <v>0</v>
      </c>
      <c r="AZ58" s="34">
        <f>VLOOKUP($A58,'[1]Init $$'!$B$3:$CG$118,52,FALSE)</f>
        <v>13600</v>
      </c>
      <c r="BA58" s="34">
        <f>VLOOKUP($A58,'[1]Init $$'!$B$3:$CG$118,53,FALSE)</f>
        <v>0</v>
      </c>
      <c r="BB58" s="34">
        <f>VLOOKUP($A58,'[1]Init $$'!$B$3:$CG$118,54,FALSE)</f>
        <v>13600</v>
      </c>
      <c r="BC58" s="34">
        <f>VLOOKUP($A58,'[1]Init $$'!$B$3:$CG$118,55,FALSE)</f>
        <v>117977.5</v>
      </c>
      <c r="BD58" s="34">
        <f>VLOOKUP($A58,'[1]Init $$'!$B$3:$CG$118,56,FALSE)</f>
        <v>1900.33</v>
      </c>
      <c r="BE58" s="34">
        <f>VLOOKUP($A58,'[1]Init $$'!$B$3:$CG$118,57,FALSE)</f>
        <v>0</v>
      </c>
      <c r="BF58" s="43">
        <f>'Est gen ed 23 $$'!BF58/'Est gen ed 23 pos'!BF$123</f>
        <v>0</v>
      </c>
      <c r="BG58" s="43">
        <f>'Est gen ed 23 $$'!BG58/'Est gen ed 23 pos'!BG$123</f>
        <v>0</v>
      </c>
      <c r="BH58" s="34">
        <f>VLOOKUP($A58,'[1]Init $$'!$B$3:$CG$118,60,FALSE)</f>
        <v>0</v>
      </c>
      <c r="BI58" s="34">
        <f>VLOOKUP($A58,'[1]Init $$'!$B$3:$CG$118,61,FALSE)</f>
        <v>0</v>
      </c>
      <c r="BJ58" s="34">
        <f>VLOOKUP($A58,'[1]Init $$'!$B$3:$CG$118,62,FALSE)</f>
        <v>0</v>
      </c>
      <c r="BK58" s="43">
        <f>'Est gen ed 23 $$'!BK58/'Est gen ed 23 pos'!BK$123</f>
        <v>0</v>
      </c>
      <c r="BL58" s="34">
        <f>VLOOKUP($A58,'[1]Init $$'!$B$3:$CG$118,64,FALSE)</f>
        <v>0</v>
      </c>
      <c r="BM58" s="43">
        <f>'Est gen ed 23 $$'!BM58/'Est gen ed 23 pos'!BM$123</f>
        <v>0</v>
      </c>
      <c r="BN58" s="34">
        <f>VLOOKUP($A58,'[1]Init $$'!$B$3:$CG$118,66,FALSE)</f>
        <v>0</v>
      </c>
      <c r="BO58" s="43">
        <f>'Est gen ed 23 $$'!BO58/'Est gen ed 23 pos'!BO$123</f>
        <v>0</v>
      </c>
      <c r="BP58" s="34">
        <f>VLOOKUP($A58,'[1]Init $$'!$B$3:$CG$118,68,FALSE)</f>
        <v>0</v>
      </c>
      <c r="BQ58" s="43">
        <f>'Est gen ed 23 $$'!BQ58/'Est gen ed 23 pos'!BQ$123</f>
        <v>0</v>
      </c>
      <c r="BR58" s="43">
        <f>'Est gen ed 23 $$'!BR58/'Est gen ed 23 pos'!BR$123</f>
        <v>0</v>
      </c>
      <c r="BS58" s="34">
        <f>VLOOKUP($A58,'[1]Init $$'!$B$3:$CG$118,71,FALSE)</f>
        <v>0</v>
      </c>
      <c r="BT58" s="34">
        <f>VLOOKUP($A58,'[1]Init $$'!$B$3:$CG$118,72,FALSE)</f>
        <v>0</v>
      </c>
      <c r="BU58" s="34">
        <f>VLOOKUP($A58,'[1]Init $$'!$B$3:$CG$118,73,FALSE)</f>
        <v>15325</v>
      </c>
      <c r="BV58" s="34">
        <f>VLOOKUP($A58,'[1]Init $$'!$B$3:$CG$118,74,FALSE)</f>
        <v>0</v>
      </c>
      <c r="BW58" s="34">
        <f>VLOOKUP($A58,'[1]Init $$'!$B$3:$CG$118,75,FALSE)</f>
        <v>0</v>
      </c>
      <c r="BX58" s="43">
        <f>'Est gen ed 23 $$'!BX58/'Est gen ed 23 pos'!BX$123</f>
        <v>0</v>
      </c>
      <c r="BY58" s="43">
        <f>'Est gen ed 23 $$'!BY58/'Est gen ed 23 pos'!BY$123</f>
        <v>0</v>
      </c>
      <c r="BZ58" s="43">
        <f>'Est gen ed 23 $$'!BZ58/'Est gen ed 23 pos'!BZ$123</f>
        <v>0</v>
      </c>
      <c r="CA58" s="34">
        <f>VLOOKUP($A58,'[1]Init $$'!$B$3:$CG$118,79,FALSE)</f>
        <v>490898.23</v>
      </c>
      <c r="CB58" s="34">
        <f>VLOOKUP($A58,'[1]Init $$'!$B$3:$CG$118,80,FALSE)</f>
        <v>114442.68</v>
      </c>
      <c r="CC58" s="34">
        <f>VLOOKUP($A58,'[1]Init $$'!$B$3:$CG$118,81,FALSE)</f>
        <v>208593.31</v>
      </c>
      <c r="CD58" s="34">
        <f>VLOOKUP($A58,'[1]Init $$'!$B$3:$CG$118,82,FALSE)</f>
        <v>213869.48</v>
      </c>
      <c r="CE58" s="34">
        <f>VLOOKUP($A58,'[1]Init $$'!$B$3:$CG$118,83,FALSE)</f>
        <v>366910.89</v>
      </c>
      <c r="CF58" s="34">
        <f>VLOOKUP($A58,'[1]Init $$'!$B$3:$CG$118,84,FALSE)</f>
        <v>0</v>
      </c>
      <c r="CJ58" s="28">
        <f t="shared" si="2"/>
        <v>2836715.0599986231</v>
      </c>
      <c r="CK58" s="43">
        <f>'Est gen ed 23 $$'!CK58/'Est gen ed 23 pos'!CK$123</f>
        <v>0.99999604682144683</v>
      </c>
      <c r="CL58" s="43">
        <f>'Est gen ed 23 $$'!CL58/'Est gen ed 23 pos'!CL$123</f>
        <v>0</v>
      </c>
      <c r="CM58" s="43">
        <f>'Est gen ed 23 $$'!CM58/'Est gen ed 23 pos'!CM$123</f>
        <v>0.5</v>
      </c>
      <c r="CN58" s="43">
        <f>'Est gen ed 23 $$'!CN58/'Est gen ed 23 pos'!CN$123</f>
        <v>0</v>
      </c>
      <c r="CO58" s="43">
        <f>'Est gen ed 23 $$'!CO58/'Est gen ed 23 pos'!CO$123</f>
        <v>0</v>
      </c>
      <c r="CP58" s="43">
        <f>'Est gen ed 23 $$'!CP58/'Est gen ed 23 pos'!CP$123</f>
        <v>0</v>
      </c>
      <c r="CQ58" s="43">
        <f>'Est gen ed 23 $$'!CQ58/'Est gen ed 23 pos'!CQ$123</f>
        <v>0.99999604682144683</v>
      </c>
      <c r="CR58" s="43">
        <f>'Est gen ed 23 $$'!CR58/'Est gen ed 23 pos'!CR$123</f>
        <v>0.99999604682144683</v>
      </c>
      <c r="CS58" s="43">
        <f>'Est gen ed 23 $$'!CS58/'Est gen ed 23 pos'!CS$123</f>
        <v>1.4999940702321701</v>
      </c>
      <c r="CT58" s="43">
        <f>'Est gen ed 23 $$'!CT58/'Est gen ed 23 pos'!CT$123</f>
        <v>2</v>
      </c>
      <c r="CU58" s="43">
        <f>'Est gen ed 23 $$'!CU58/'Est gen ed 23 pos'!CU$123</f>
        <v>10</v>
      </c>
      <c r="CZ58" s="43">
        <f>'Est gen ed 23 $$'!CW58/'Est gen ed 23 pos'!CZ$123</f>
        <v>0</v>
      </c>
      <c r="DB58" s="28">
        <f t="shared" si="3"/>
        <v>979572</v>
      </c>
      <c r="DC58" s="28">
        <f t="shared" si="0"/>
        <v>789373.68</v>
      </c>
      <c r="DK58" s="34"/>
      <c r="DL58" s="34"/>
    </row>
    <row r="59" spans="1:116" x14ac:dyDescent="0.2">
      <c r="A59">
        <v>417</v>
      </c>
      <c r="B59" t="s">
        <v>70</v>
      </c>
      <c r="C59" t="s">
        <v>19</v>
      </c>
      <c r="D59">
        <v>8</v>
      </c>
      <c r="E59">
        <f>VLOOKUP($A59,'[1]Init $$'!$B$3:$CG$118,4,FALSE)</f>
        <v>289</v>
      </c>
      <c r="F59">
        <f>VLOOKUP($A59,'[1]Init $$'!$B$3:$CG$118,6,FALSE)</f>
        <v>289</v>
      </c>
      <c r="G59">
        <f>VLOOKUP($A59,'[2]$$xSchpostCouncilxLevel'!$A$4:$EW$120,153,FALSE)</f>
        <v>246</v>
      </c>
      <c r="H59" s="50">
        <f t="shared" si="1"/>
        <v>43</v>
      </c>
      <c r="I59" s="4">
        <f>VLOOKUP($A59,'[1]Init $$'!$B$3:$CG$118,8,FALSE)</f>
        <v>0.85121107266435991</v>
      </c>
      <c r="J59">
        <f>VLOOKUP($A59,'[1]Init $$'!$B$3:$CG$118,7,FALSE)</f>
        <v>246</v>
      </c>
      <c r="K59" s="43">
        <f>'Est gen ed 23 $$'!K59/'Est gen ed 23 pos'!K$123</f>
        <v>1</v>
      </c>
      <c r="L59" s="43">
        <f>'Est gen ed 23 $$'!L59/'Est gen ed 23 pos'!L$123</f>
        <v>1</v>
      </c>
      <c r="M59" s="43">
        <f>'Est gen ed 23 $$'!M59/'Est gen ed 23 pos'!M$123</f>
        <v>0</v>
      </c>
      <c r="N59" s="43">
        <f>'Est gen ed 23 $$'!N59/'Est gen ed 23 pos'!N$123</f>
        <v>1</v>
      </c>
      <c r="O59" s="34">
        <f>VLOOKUP($A59,'[1]Init $$'!$B$3:$CG$118,15,FALSE)</f>
        <v>10041.65</v>
      </c>
      <c r="P59" s="43">
        <f>'Est gen ed 23 $$'!P59/'Est gen ed 23 pos'!P$123</f>
        <v>1</v>
      </c>
      <c r="Q59" s="43">
        <f>'Est gen ed 23 $$'!Q59/'Est gen ed 23 pos'!Q$123</f>
        <v>1</v>
      </c>
      <c r="R59" s="43">
        <f>'Est gen ed 23 $$'!R59/'Est gen ed 23 pos'!R$123</f>
        <v>3.0000001953611113</v>
      </c>
      <c r="S59" s="43">
        <f>'Est gen ed 23 $$'!S59/'Est gen ed 23 pos'!S$123</f>
        <v>1</v>
      </c>
      <c r="T59" s="43">
        <f>'Est gen ed 23 $$'!T59/'Est gen ed 23 pos'!T$123</f>
        <v>0</v>
      </c>
      <c r="U59" s="43">
        <f>'Est gen ed 23 $$'!U59/'Est gen ed 23 pos'!U$123</f>
        <v>0</v>
      </c>
      <c r="V59" s="43">
        <f>'Est gen ed 23 $$'!V59/'Est gen ed 23 pos'!V$123</f>
        <v>0</v>
      </c>
      <c r="W59" s="43">
        <f>'Est gen ed 23 $$'!W59/'Est gen ed 23 pos'!W$123</f>
        <v>0</v>
      </c>
      <c r="X59" s="34">
        <f>VLOOKUP($A59,'[1]Init $$'!$B$3:$CG$118,24,FALSE)</f>
        <v>0</v>
      </c>
      <c r="Y59" s="34">
        <f>VLOOKUP($A59,'[1]Init $$'!$B$3:$CG$118,25,FALSE)</f>
        <v>0</v>
      </c>
      <c r="Z59" s="34">
        <f>VLOOKUP($A59,'[1]Init $$'!$B$3:$CG$118,26,FALSE)</f>
        <v>0</v>
      </c>
      <c r="AA59" s="34">
        <f>VLOOKUP($A59,'[1]Init $$'!$B$3:$CG$118,27,FALSE)</f>
        <v>0</v>
      </c>
      <c r="AB59" s="43">
        <f>'Est gen ed 23 $$'!AB59/'Est gen ed 23 pos'!AB$123</f>
        <v>0</v>
      </c>
      <c r="AC59" s="43">
        <f>'Est gen ed 23 $$'!AC59/'Est gen ed 23 pos'!AC$123</f>
        <v>0</v>
      </c>
      <c r="AD59" s="43">
        <f>'Est gen ed 23 $$'!AD59/'Est gen ed 23 pos'!AD$123</f>
        <v>0</v>
      </c>
      <c r="AE59" s="43">
        <f>'Est gen ed 23 $$'!AE59/'Est gen ed 23 pos'!AE$123</f>
        <v>0</v>
      </c>
      <c r="AF59" s="34">
        <f>VLOOKUP($A59,'[1]Init $$'!$B$3:$CG$118,32,FALSE)</f>
        <v>1726197</v>
      </c>
      <c r="AG59" s="34">
        <f>VLOOKUP($A59,'[1]Init $$'!$B$3:$CG$118,33,FALSE)</f>
        <v>98838</v>
      </c>
      <c r="AH59" s="43">
        <f>'Est gen ed 23 $$'!AH59/'Est gen ed 23 pos'!AH$123</f>
        <v>1</v>
      </c>
      <c r="AI59" s="43">
        <f>'Est gen ed 23 $$'!AI59/'Est gen ed 23 pos'!AI$123</f>
        <v>2.9999999121515879</v>
      </c>
      <c r="AJ59" s="43">
        <f>'Est gen ed 23 $$'!AJ59/'Est gen ed 23 pos'!AJ$123</f>
        <v>4.9999998243031758</v>
      </c>
      <c r="AK59" s="43">
        <f>'Est gen ed 23 $$'!AK59/'Est gen ed 23 pos'!AK$123</f>
        <v>3.9999998243031758</v>
      </c>
      <c r="AL59" s="43">
        <f>'Est gen ed 23 $$'!AL59/'Est gen ed 23 pos'!AL$123</f>
        <v>3.9999997446793079</v>
      </c>
      <c r="AM59" s="43">
        <f>'Est gen ed 23 $$'!AM59/'Est gen ed 23 pos'!AM$123</f>
        <v>0</v>
      </c>
      <c r="AN59" s="43">
        <f>'Est gen ed 23 $$'!AN59/'Est gen ed 23 pos'!AN$123</f>
        <v>2.0000019111157443</v>
      </c>
      <c r="AO59" s="43">
        <f>'Est gen ed 23 $$'!AO59/'Est gen ed 23 pos'!AO$123</f>
        <v>0</v>
      </c>
      <c r="AP59" s="34">
        <f>VLOOKUP($A59,'[1]Init $$'!$B$3:$CG$118,42,FALSE)</f>
        <v>143352</v>
      </c>
      <c r="AQ59" s="34">
        <f>VLOOKUP($A59,'[1]Init $$'!$B$3:$CG$118,43,FALSE)</f>
        <v>0</v>
      </c>
      <c r="AR59" s="43">
        <f>'Est gen ed 23 $$'!AR59/'Est gen ed 23 pos'!AR$123</f>
        <v>0</v>
      </c>
      <c r="AS59" s="43">
        <f>'Est gen ed 23 $$'!AS59/'Est gen ed 23 pos'!AS$123</f>
        <v>0.26999998682273813</v>
      </c>
      <c r="AT59" s="43">
        <f>'Est gen ed 23 $$'!AT59/'Est gen ed 23 pos'!AT$123</f>
        <v>0</v>
      </c>
      <c r="AU59" s="34">
        <f>VLOOKUP($A59,'[1]Init $$'!$B$3:$CG$118,47,FALSE)</f>
        <v>10751.4</v>
      </c>
      <c r="AV59" s="34">
        <f>VLOOKUP($A59,'[1]Init $$'!$B$3:$CG$118,48,FALSE)</f>
        <v>0</v>
      </c>
      <c r="AW59" s="34">
        <f>VLOOKUP($A59,'[1]Init $$'!$B$3:$CG$118,49,FALSE)</f>
        <v>0</v>
      </c>
      <c r="AX59" s="34">
        <f>VLOOKUP($A59,'[1]Init $$'!$B$3:$CG$118,50,FALSE)</f>
        <v>0</v>
      </c>
      <c r="AY59" s="34">
        <f>VLOOKUP($A59,'[1]Init $$'!$B$3:$CG$118,51,FALSE)</f>
        <v>0</v>
      </c>
      <c r="AZ59" s="34">
        <f>VLOOKUP($A59,'[1]Init $$'!$B$3:$CG$118,52,FALSE)</f>
        <v>0</v>
      </c>
      <c r="BA59" s="34">
        <f>VLOOKUP($A59,'[1]Init $$'!$B$3:$CG$118,53,FALSE)</f>
        <v>0</v>
      </c>
      <c r="BB59" s="34">
        <f>VLOOKUP($A59,'[1]Init $$'!$B$3:$CG$118,54,FALSE)</f>
        <v>0</v>
      </c>
      <c r="BC59" s="34">
        <f>VLOOKUP($A59,'[1]Init $$'!$B$3:$CG$118,55,FALSE)</f>
        <v>156401.35999999999</v>
      </c>
      <c r="BD59" s="34">
        <f>VLOOKUP($A59,'[1]Init $$'!$B$3:$CG$118,56,FALSE)</f>
        <v>2519.2399999999998</v>
      </c>
      <c r="BE59" s="34">
        <f>VLOOKUP($A59,'[1]Init $$'!$B$3:$CG$118,57,FALSE)</f>
        <v>0</v>
      </c>
      <c r="BF59" s="43">
        <f>'Est gen ed 23 $$'!BF59/'Est gen ed 23 pos'!BF$123</f>
        <v>0</v>
      </c>
      <c r="BG59" s="43">
        <f>'Est gen ed 23 $$'!BG59/'Est gen ed 23 pos'!BG$123</f>
        <v>0</v>
      </c>
      <c r="BH59" s="34">
        <f>VLOOKUP($A59,'[1]Init $$'!$B$3:$CG$118,60,FALSE)</f>
        <v>0</v>
      </c>
      <c r="BI59" s="34">
        <f>VLOOKUP($A59,'[1]Init $$'!$B$3:$CG$118,61,FALSE)</f>
        <v>0</v>
      </c>
      <c r="BJ59" s="34">
        <f>VLOOKUP($A59,'[1]Init $$'!$B$3:$CG$118,62,FALSE)</f>
        <v>0</v>
      </c>
      <c r="BK59" s="43">
        <f>'Est gen ed 23 $$'!BK59/'Est gen ed 23 pos'!BK$123</f>
        <v>0</v>
      </c>
      <c r="BL59" s="34">
        <f>VLOOKUP($A59,'[1]Init $$'!$B$3:$CG$118,64,FALSE)</f>
        <v>0</v>
      </c>
      <c r="BM59" s="43">
        <f>'Est gen ed 23 $$'!BM59/'Est gen ed 23 pos'!BM$123</f>
        <v>0</v>
      </c>
      <c r="BN59" s="34">
        <f>VLOOKUP($A59,'[1]Init $$'!$B$3:$CG$118,66,FALSE)</f>
        <v>0</v>
      </c>
      <c r="BO59" s="43">
        <f>'Est gen ed 23 $$'!BO59/'Est gen ed 23 pos'!BO$123</f>
        <v>0</v>
      </c>
      <c r="BP59" s="34">
        <f>VLOOKUP($A59,'[1]Init $$'!$B$3:$CG$118,68,FALSE)</f>
        <v>0</v>
      </c>
      <c r="BQ59" s="43">
        <f>'Est gen ed 23 $$'!BQ59/'Est gen ed 23 pos'!BQ$123</f>
        <v>0</v>
      </c>
      <c r="BR59" s="43">
        <f>'Est gen ed 23 $$'!BR59/'Est gen ed 23 pos'!BR$123</f>
        <v>0</v>
      </c>
      <c r="BS59" s="34">
        <f>VLOOKUP($A59,'[1]Init $$'!$B$3:$CG$118,71,FALSE)</f>
        <v>0</v>
      </c>
      <c r="BT59" s="34">
        <f>VLOOKUP($A59,'[1]Init $$'!$B$3:$CG$118,72,FALSE)</f>
        <v>0</v>
      </c>
      <c r="BU59" s="34">
        <f>VLOOKUP($A59,'[1]Init $$'!$B$3:$CG$118,73,FALSE)</f>
        <v>0</v>
      </c>
      <c r="BV59" s="34">
        <f>VLOOKUP($A59,'[1]Init $$'!$B$3:$CG$118,74,FALSE)</f>
        <v>0</v>
      </c>
      <c r="BW59" s="34">
        <f>VLOOKUP($A59,'[1]Init $$'!$B$3:$CG$118,75,FALSE)</f>
        <v>55921</v>
      </c>
      <c r="BX59" s="43">
        <f>'Est gen ed 23 $$'!BX59/'Est gen ed 23 pos'!BX$123</f>
        <v>0</v>
      </c>
      <c r="BY59" s="43">
        <f>'Est gen ed 23 $$'!BY59/'Est gen ed 23 pos'!BY$123</f>
        <v>0</v>
      </c>
      <c r="BZ59" s="43">
        <f>'Est gen ed 23 $$'!BZ59/'Est gen ed 23 pos'!BZ$123</f>
        <v>0</v>
      </c>
      <c r="CA59" s="34">
        <f>VLOOKUP($A59,'[1]Init $$'!$B$3:$CG$118,79,FALSE)</f>
        <v>659895.98</v>
      </c>
      <c r="CB59" s="34">
        <f>VLOOKUP($A59,'[1]Init $$'!$B$3:$CG$118,80,FALSE)</f>
        <v>207979.86</v>
      </c>
      <c r="CC59" s="34">
        <f>VLOOKUP($A59,'[1]Init $$'!$B$3:$CG$118,81,FALSE)</f>
        <v>0</v>
      </c>
      <c r="CD59" s="34">
        <f>VLOOKUP($A59,'[1]Init $$'!$B$3:$CG$118,82,FALSE)</f>
        <v>0</v>
      </c>
      <c r="CE59" s="34">
        <f>VLOOKUP($A59,'[1]Init $$'!$B$3:$CG$118,83,FALSE)</f>
        <v>0</v>
      </c>
      <c r="CF59" s="34">
        <f>VLOOKUP($A59,'[1]Init $$'!$B$3:$CG$118,84,FALSE)</f>
        <v>0</v>
      </c>
      <c r="CJ59" s="28">
        <f t="shared" si="2"/>
        <v>3071925.7600013982</v>
      </c>
      <c r="CK59" s="43">
        <f>'Est gen ed 23 $$'!CK59/'Est gen ed 23 pos'!CK$123</f>
        <v>0.99999604682144683</v>
      </c>
      <c r="CL59" s="43">
        <f>'Est gen ed 23 $$'!CL59/'Est gen ed 23 pos'!CL$123</f>
        <v>0.96333333333333337</v>
      </c>
      <c r="CM59" s="43">
        <f>'Est gen ed 23 $$'!CM59/'Est gen ed 23 pos'!CM$123</f>
        <v>0.5</v>
      </c>
      <c r="CN59" s="43">
        <f>'Est gen ed 23 $$'!CN59/'Est gen ed 23 pos'!CN$123</f>
        <v>0</v>
      </c>
      <c r="CO59" s="43">
        <f>'Est gen ed 23 $$'!CO59/'Est gen ed 23 pos'!CO$123</f>
        <v>0</v>
      </c>
      <c r="CP59" s="43">
        <f>'Est gen ed 23 $$'!CP59/'Est gen ed 23 pos'!CP$123</f>
        <v>0</v>
      </c>
      <c r="CQ59" s="43">
        <f>'Est gen ed 23 $$'!CQ59/'Est gen ed 23 pos'!CQ$123</f>
        <v>0</v>
      </c>
      <c r="CR59" s="43">
        <f>'Est gen ed 23 $$'!CR59/'Est gen ed 23 pos'!CR$123</f>
        <v>0</v>
      </c>
      <c r="CS59" s="43">
        <f>'Est gen ed 23 $$'!CS59/'Est gen ed 23 pos'!CS$123</f>
        <v>0</v>
      </c>
      <c r="CT59" s="43">
        <f>'Est gen ed 23 $$'!CT59/'Est gen ed 23 pos'!CT$123</f>
        <v>0</v>
      </c>
      <c r="CU59" s="43">
        <f>'Est gen ed 23 $$'!CU59/'Est gen ed 23 pos'!CU$123</f>
        <v>16</v>
      </c>
      <c r="CZ59" s="43">
        <f>'Est gen ed 23 $$'!CW59/'Est gen ed 23 pos'!CZ$123</f>
        <v>0</v>
      </c>
      <c r="DB59" s="28">
        <f t="shared" si="3"/>
        <v>1726197</v>
      </c>
      <c r="DC59" s="28">
        <f t="shared" si="0"/>
        <v>0</v>
      </c>
      <c r="DK59" s="34"/>
      <c r="DL59" s="34"/>
    </row>
    <row r="60" spans="1:116" x14ac:dyDescent="0.2">
      <c r="A60">
        <v>261</v>
      </c>
      <c r="B60" t="s">
        <v>69</v>
      </c>
      <c r="C60" t="s">
        <v>7</v>
      </c>
      <c r="D60">
        <v>4</v>
      </c>
      <c r="E60">
        <f>VLOOKUP($A60,'[1]Init $$'!$B$3:$CG$118,4,FALSE)</f>
        <v>884</v>
      </c>
      <c r="F60">
        <f>VLOOKUP($A60,'[1]Init $$'!$B$3:$CG$118,6,FALSE)</f>
        <v>823</v>
      </c>
      <c r="G60">
        <f>VLOOKUP($A60,'[2]$$xSchpostCouncilxLevel'!$A$4:$EW$120,153,FALSE)</f>
        <v>904</v>
      </c>
      <c r="H60" s="50">
        <f t="shared" si="1"/>
        <v>-81</v>
      </c>
      <c r="I60" s="4">
        <f>VLOOKUP($A60,'[1]Init $$'!$B$3:$CG$118,8,FALSE)</f>
        <v>3.0542986425339366E-2</v>
      </c>
      <c r="J60">
        <f>VLOOKUP($A60,'[1]Init $$'!$B$3:$CG$118,7,FALSE)</f>
        <v>27</v>
      </c>
      <c r="K60" s="43">
        <f>'Est gen ed 23 $$'!K60/'Est gen ed 23 pos'!K$123</f>
        <v>1</v>
      </c>
      <c r="L60" s="43">
        <f>'Est gen ed 23 $$'!L60/'Est gen ed 23 pos'!L$123</f>
        <v>0</v>
      </c>
      <c r="M60" s="43">
        <f>'Est gen ed 23 $$'!M60/'Est gen ed 23 pos'!M$123</f>
        <v>0</v>
      </c>
      <c r="N60" s="43">
        <f>'Est gen ed 23 $$'!N60/'Est gen ed 23 pos'!N$123</f>
        <v>1</v>
      </c>
      <c r="O60" s="34">
        <f>VLOOKUP($A60,'[1]Init $$'!$B$3:$CG$118,15,FALSE)</f>
        <v>9267.1</v>
      </c>
      <c r="P60" s="43">
        <f>'Est gen ed 23 $$'!P60/'Est gen ed 23 pos'!P$123</f>
        <v>1</v>
      </c>
      <c r="Q60" s="43">
        <f>'Est gen ed 23 $$'!Q60/'Est gen ed 23 pos'!Q$123</f>
        <v>1</v>
      </c>
      <c r="R60" s="43">
        <f>'Est gen ed 23 $$'!R60/'Est gen ed 23 pos'!R$123</f>
        <v>4.0000003907222226</v>
      </c>
      <c r="S60" s="43">
        <f>'Est gen ed 23 $$'!S60/'Est gen ed 23 pos'!S$123</f>
        <v>1</v>
      </c>
      <c r="T60" s="43">
        <f>'Est gen ed 23 $$'!T60/'Est gen ed 23 pos'!T$123</f>
        <v>0</v>
      </c>
      <c r="U60" s="43">
        <f>'Est gen ed 23 $$'!U60/'Est gen ed 23 pos'!U$123</f>
        <v>0</v>
      </c>
      <c r="V60" s="43">
        <f>'Est gen ed 23 $$'!V60/'Est gen ed 23 pos'!V$123</f>
        <v>1.9999999121515879</v>
      </c>
      <c r="W60" s="43">
        <f>'Est gen ed 23 $$'!W60/'Est gen ed 23 pos'!W$123</f>
        <v>1.9999997446793083</v>
      </c>
      <c r="X60" s="34">
        <f>VLOOKUP($A60,'[1]Init $$'!$B$3:$CG$118,24,FALSE)</f>
        <v>109305.9</v>
      </c>
      <c r="Y60" s="34">
        <f>VLOOKUP($A60,'[1]Init $$'!$B$3:$CG$118,25,FALSE)</f>
        <v>0</v>
      </c>
      <c r="Z60" s="34">
        <f>VLOOKUP($A60,'[1]Init $$'!$B$3:$CG$118,26,FALSE)</f>
        <v>0</v>
      </c>
      <c r="AA60" s="34">
        <f>VLOOKUP($A60,'[1]Init $$'!$B$3:$CG$118,27,FALSE)</f>
        <v>0</v>
      </c>
      <c r="AB60" s="43">
        <f>'Est gen ed 23 $$'!AB60/'Est gen ed 23 pos'!AB$123</f>
        <v>0</v>
      </c>
      <c r="AC60" s="43">
        <f>'Est gen ed 23 $$'!AC60/'Est gen ed 23 pos'!AC$123</f>
        <v>0</v>
      </c>
      <c r="AD60" s="43">
        <f>'Est gen ed 23 $$'!AD60/'Est gen ed 23 pos'!AD$123</f>
        <v>0</v>
      </c>
      <c r="AE60" s="43">
        <f>'Est gen ed 23 $$'!AE60/'Est gen ed 23 pos'!AE$123</f>
        <v>0</v>
      </c>
      <c r="AF60" s="34">
        <f>VLOOKUP($A60,'[1]Init $$'!$B$3:$CG$118,32,FALSE)</f>
        <v>4915779</v>
      </c>
      <c r="AG60" s="34">
        <f>VLOOKUP($A60,'[1]Init $$'!$B$3:$CG$118,33,FALSE)</f>
        <v>287300</v>
      </c>
      <c r="AH60" s="43">
        <f>'Est gen ed 23 $$'!AH60/'Est gen ed 23 pos'!AH$123</f>
        <v>1.9999999121515879</v>
      </c>
      <c r="AI60" s="43">
        <f>'Est gen ed 23 $$'!AI60/'Est gen ed 23 pos'!AI$123</f>
        <v>2.9999999121515879</v>
      </c>
      <c r="AJ60" s="43">
        <f>'Est gen ed 23 $$'!AJ60/'Est gen ed 23 pos'!AJ$123</f>
        <v>4.9999998243031758</v>
      </c>
      <c r="AK60" s="43">
        <f>'Est gen ed 23 $$'!AK60/'Est gen ed 23 pos'!AK$123</f>
        <v>3.9999998243031758</v>
      </c>
      <c r="AL60" s="43">
        <f>'Est gen ed 23 $$'!AL60/'Est gen ed 23 pos'!AL$123</f>
        <v>5.9999994893586166</v>
      </c>
      <c r="AM60" s="43">
        <f>'Est gen ed 23 $$'!AM60/'Est gen ed 23 pos'!AM$123</f>
        <v>0</v>
      </c>
      <c r="AN60" s="43">
        <f>'Est gen ed 23 $$'!AN60/'Est gen ed 23 pos'!AN$123</f>
        <v>0</v>
      </c>
      <c r="AO60" s="43">
        <f>'Est gen ed 23 $$'!AO60/'Est gen ed 23 pos'!AO$123</f>
        <v>0</v>
      </c>
      <c r="AP60" s="34">
        <f>VLOOKUP($A60,'[1]Init $$'!$B$3:$CG$118,42,FALSE)</f>
        <v>179190</v>
      </c>
      <c r="AQ60" s="34">
        <f>VLOOKUP($A60,'[1]Init $$'!$B$3:$CG$118,43,FALSE)</f>
        <v>0</v>
      </c>
      <c r="AR60" s="43">
        <f>'Est gen ed 23 $$'!AR60/'Est gen ed 23 pos'!AR$123</f>
        <v>3.9999998243031758</v>
      </c>
      <c r="AS60" s="43">
        <f>'Est gen ed 23 $$'!AS60/'Est gen ed 23 pos'!AS$123</f>
        <v>0</v>
      </c>
      <c r="AT60" s="43">
        <f>'Est gen ed 23 $$'!AT60/'Est gen ed 23 pos'!AT$123</f>
        <v>0</v>
      </c>
      <c r="AU60" s="34">
        <f>VLOOKUP($A60,'[1]Init $$'!$B$3:$CG$118,47,FALSE)</f>
        <v>139768.20000000001</v>
      </c>
      <c r="AV60" s="34">
        <f>VLOOKUP($A60,'[1]Init $$'!$B$3:$CG$118,48,FALSE)</f>
        <v>0</v>
      </c>
      <c r="AW60" s="34">
        <f>VLOOKUP($A60,'[1]Init $$'!$B$3:$CG$118,49,FALSE)</f>
        <v>0</v>
      </c>
      <c r="AX60" s="34">
        <f>VLOOKUP($A60,'[1]Init $$'!$B$3:$CG$118,50,FALSE)</f>
        <v>0</v>
      </c>
      <c r="AY60" s="34">
        <f>VLOOKUP($A60,'[1]Init $$'!$B$3:$CG$118,51,FALSE)</f>
        <v>0</v>
      </c>
      <c r="AZ60" s="34">
        <f>VLOOKUP($A60,'[1]Init $$'!$B$3:$CG$118,52,FALSE)</f>
        <v>0</v>
      </c>
      <c r="BA60" s="34">
        <f>VLOOKUP($A60,'[1]Init $$'!$B$3:$CG$118,53,FALSE)</f>
        <v>0</v>
      </c>
      <c r="BB60" s="34">
        <f>VLOOKUP($A60,'[1]Init $$'!$B$3:$CG$118,54,FALSE)</f>
        <v>0</v>
      </c>
      <c r="BC60" s="34">
        <f>VLOOKUP($A60,'[1]Init $$'!$B$3:$CG$118,55,FALSE)</f>
        <v>0</v>
      </c>
      <c r="BD60" s="34">
        <f>VLOOKUP($A60,'[1]Init $$'!$B$3:$CG$118,56,FALSE)</f>
        <v>0</v>
      </c>
      <c r="BE60" s="34">
        <f>VLOOKUP($A60,'[1]Init $$'!$B$3:$CG$118,57,FALSE)</f>
        <v>22100</v>
      </c>
      <c r="BF60" s="43">
        <f>'Est gen ed 23 $$'!BF60/'Est gen ed 23 pos'!BF$123</f>
        <v>0</v>
      </c>
      <c r="BG60" s="43">
        <f>'Est gen ed 23 $$'!BG60/'Est gen ed 23 pos'!BG$123</f>
        <v>0</v>
      </c>
      <c r="BH60" s="34">
        <f>VLOOKUP($A60,'[1]Init $$'!$B$3:$CG$118,60,FALSE)</f>
        <v>0</v>
      </c>
      <c r="BI60" s="34">
        <f>VLOOKUP($A60,'[1]Init $$'!$B$3:$CG$118,61,FALSE)</f>
        <v>0</v>
      </c>
      <c r="BJ60" s="34">
        <f>VLOOKUP($A60,'[1]Init $$'!$B$3:$CG$118,62,FALSE)</f>
        <v>0</v>
      </c>
      <c r="BK60" s="43">
        <f>'Est gen ed 23 $$'!BK60/'Est gen ed 23 pos'!BK$123</f>
        <v>0</v>
      </c>
      <c r="BL60" s="34">
        <f>VLOOKUP($A60,'[1]Init $$'!$B$3:$CG$118,64,FALSE)</f>
        <v>0</v>
      </c>
      <c r="BM60" s="43">
        <f>'Est gen ed 23 $$'!BM60/'Est gen ed 23 pos'!BM$123</f>
        <v>0</v>
      </c>
      <c r="BN60" s="34">
        <f>VLOOKUP($A60,'[1]Init $$'!$B$3:$CG$118,66,FALSE)</f>
        <v>0</v>
      </c>
      <c r="BO60" s="43">
        <f>'Est gen ed 23 $$'!BO60/'Est gen ed 23 pos'!BO$123</f>
        <v>0</v>
      </c>
      <c r="BP60" s="34">
        <f>VLOOKUP($A60,'[1]Init $$'!$B$3:$CG$118,68,FALSE)</f>
        <v>0</v>
      </c>
      <c r="BQ60" s="43">
        <f>'Est gen ed 23 $$'!BQ60/'Est gen ed 23 pos'!BQ$123</f>
        <v>0</v>
      </c>
      <c r="BR60" s="43">
        <f>'Est gen ed 23 $$'!BR60/'Est gen ed 23 pos'!BR$123</f>
        <v>0</v>
      </c>
      <c r="BS60" s="34">
        <f>VLOOKUP($A60,'[1]Init $$'!$B$3:$CG$118,71,FALSE)</f>
        <v>0</v>
      </c>
      <c r="BT60" s="34">
        <f>VLOOKUP($A60,'[1]Init $$'!$B$3:$CG$118,72,FALSE)</f>
        <v>0</v>
      </c>
      <c r="BU60" s="34">
        <f>VLOOKUP($A60,'[1]Init $$'!$B$3:$CG$118,73,FALSE)</f>
        <v>0</v>
      </c>
      <c r="BV60" s="34">
        <f>VLOOKUP($A60,'[1]Init $$'!$B$3:$CG$118,74,FALSE)</f>
        <v>0</v>
      </c>
      <c r="BW60" s="34">
        <f>VLOOKUP($A60,'[1]Init $$'!$B$3:$CG$118,75,FALSE)</f>
        <v>0</v>
      </c>
      <c r="BX60" s="43">
        <f>'Est gen ed 23 $$'!BX60/'Est gen ed 23 pos'!BX$123</f>
        <v>0</v>
      </c>
      <c r="BY60" s="43">
        <f>'Est gen ed 23 $$'!BY60/'Est gen ed 23 pos'!BY$123</f>
        <v>0</v>
      </c>
      <c r="BZ60" s="43">
        <f>'Est gen ed 23 $$'!BZ60/'Est gen ed 23 pos'!BZ$123</f>
        <v>0</v>
      </c>
      <c r="CA60" s="34">
        <f>VLOOKUP($A60,'[1]Init $$'!$B$3:$CG$118,79,FALSE)</f>
        <v>72427.61</v>
      </c>
      <c r="CB60" s="34">
        <f>VLOOKUP($A60,'[1]Init $$'!$B$3:$CG$118,80,FALSE)</f>
        <v>0</v>
      </c>
      <c r="CC60" s="34">
        <f>VLOOKUP($A60,'[1]Init $$'!$B$3:$CG$118,81,FALSE)</f>
        <v>527103.06999999995</v>
      </c>
      <c r="CD60" s="34">
        <f>VLOOKUP($A60,'[1]Init $$'!$B$3:$CG$118,82,FALSE)</f>
        <v>516011.11</v>
      </c>
      <c r="CE60" s="34">
        <f>VLOOKUP($A60,'[1]Init $$'!$B$3:$CG$118,83,FALSE)</f>
        <v>0</v>
      </c>
      <c r="CF60" s="34">
        <f>VLOOKUP($A60,'[1]Init $$'!$B$3:$CG$118,84,FALSE)</f>
        <v>961272.13</v>
      </c>
      <c r="CJ60" s="28">
        <f t="shared" si="2"/>
        <v>7739561.119998835</v>
      </c>
      <c r="CK60" s="43">
        <f>'Est gen ed 23 $$'!CK60/'Est gen ed 23 pos'!CK$123</f>
        <v>0.99999604682144683</v>
      </c>
      <c r="CL60" s="43">
        <f>'Est gen ed 23 $$'!CL60/'Est gen ed 23 pos'!CL$123</f>
        <v>2.21</v>
      </c>
      <c r="CM60" s="43">
        <f>'Est gen ed 23 $$'!CM60/'Est gen ed 23 pos'!CM$123</f>
        <v>1</v>
      </c>
      <c r="CN60" s="43">
        <f>'Est gen ed 23 $$'!CN60/'Est gen ed 23 pos'!CN$123</f>
        <v>0.45248868778280543</v>
      </c>
      <c r="CO60" s="43">
        <f>'Est gen ed 23 $$'!CO60/'Est gen ed 23 pos'!CO$123</f>
        <v>0</v>
      </c>
      <c r="CP60" s="43">
        <f>'Est gen ed 23 $$'!CP60/'Est gen ed 23 pos'!CP$123</f>
        <v>0</v>
      </c>
      <c r="CQ60" s="43">
        <f>'Est gen ed 23 $$'!CQ60/'Est gen ed 23 pos'!CQ$123</f>
        <v>1.9999920936428937</v>
      </c>
      <c r="CR60" s="43">
        <f>'Est gen ed 23 $$'!CR60/'Est gen ed 23 pos'!CR$123</f>
        <v>1.9999920936428937</v>
      </c>
      <c r="CS60" s="43">
        <f>'Est gen ed 23 $$'!CS60/'Est gen ed 23 pos'!CS$123</f>
        <v>3.499986163875064</v>
      </c>
      <c r="CT60" s="43">
        <f>'Est gen ed 23 $$'!CT60/'Est gen ed 23 pos'!CT$123</f>
        <v>6</v>
      </c>
      <c r="CU60" s="43">
        <f>'Est gen ed 23 $$'!CU60/'Est gen ed 23 pos'!CU$123</f>
        <v>41.999999999999993</v>
      </c>
      <c r="CZ60" s="43">
        <f>'Est gen ed 23 $$'!CW60/'Est gen ed 23 pos'!CZ$123</f>
        <v>0</v>
      </c>
      <c r="DB60" s="28">
        <f t="shared" si="3"/>
        <v>4915779</v>
      </c>
      <c r="DC60" s="28">
        <f t="shared" si="0"/>
        <v>2004386.31</v>
      </c>
      <c r="DK60" s="34"/>
      <c r="DL60" s="34"/>
    </row>
    <row r="61" spans="1:116" x14ac:dyDescent="0.2">
      <c r="A61">
        <v>262</v>
      </c>
      <c r="B61" t="s">
        <v>68</v>
      </c>
      <c r="C61" t="s">
        <v>7</v>
      </c>
      <c r="D61">
        <v>5</v>
      </c>
      <c r="E61">
        <f>VLOOKUP($A61,'[1]Init $$'!$B$3:$CG$118,4,FALSE)</f>
        <v>354</v>
      </c>
      <c r="F61">
        <f>VLOOKUP($A61,'[1]Init $$'!$B$3:$CG$118,6,FALSE)</f>
        <v>277</v>
      </c>
      <c r="G61">
        <f>VLOOKUP($A61,'[2]$$xSchpostCouncilxLevel'!$A$4:$EW$120,153,FALSE)</f>
        <v>276</v>
      </c>
      <c r="H61" s="50">
        <f t="shared" si="1"/>
        <v>1</v>
      </c>
      <c r="I61" s="4">
        <f>VLOOKUP($A61,'[1]Init $$'!$B$3:$CG$118,8,FALSE)</f>
        <v>0.54802259887005644</v>
      </c>
      <c r="J61">
        <f>VLOOKUP($A61,'[1]Init $$'!$B$3:$CG$118,7,FALSE)</f>
        <v>194</v>
      </c>
      <c r="K61" s="43">
        <f>'Est gen ed 23 $$'!K61/'Est gen ed 23 pos'!K$123</f>
        <v>1</v>
      </c>
      <c r="L61" s="43">
        <f>'Est gen ed 23 $$'!L61/'Est gen ed 23 pos'!L$123</f>
        <v>0</v>
      </c>
      <c r="M61" s="43">
        <f>'Est gen ed 23 $$'!M61/'Est gen ed 23 pos'!M$123</f>
        <v>0</v>
      </c>
      <c r="N61" s="43">
        <f>'Est gen ed 23 $$'!N61/'Est gen ed 23 pos'!N$123</f>
        <v>1</v>
      </c>
      <c r="O61" s="34">
        <f>VLOOKUP($A61,'[1]Init $$'!$B$3:$CG$118,15,FALSE)</f>
        <v>7357.85</v>
      </c>
      <c r="P61" s="43">
        <f>'Est gen ed 23 $$'!P61/'Est gen ed 23 pos'!P$123</f>
        <v>1</v>
      </c>
      <c r="Q61" s="43">
        <f>'Est gen ed 23 $$'!Q61/'Est gen ed 23 pos'!Q$123</f>
        <v>1</v>
      </c>
      <c r="R61" s="43">
        <f>'Est gen ed 23 $$'!R61/'Est gen ed 23 pos'!R$123</f>
        <v>2.0000001953611113</v>
      </c>
      <c r="S61" s="43">
        <f>'Est gen ed 23 $$'!S61/'Est gen ed 23 pos'!S$123</f>
        <v>1</v>
      </c>
      <c r="T61" s="43">
        <f>'Est gen ed 23 $$'!T61/'Est gen ed 23 pos'!T$123</f>
        <v>1</v>
      </c>
      <c r="U61" s="43">
        <f>'Est gen ed 23 $$'!U61/'Est gen ed 23 pos'!U$123</f>
        <v>2.9999999121515879</v>
      </c>
      <c r="V61" s="43">
        <f>'Est gen ed 23 $$'!V61/'Est gen ed 23 pos'!V$123</f>
        <v>1</v>
      </c>
      <c r="W61" s="43">
        <f>'Est gen ed 23 $$'!W61/'Est gen ed 23 pos'!W$123</f>
        <v>4.9999994893586166</v>
      </c>
      <c r="X61" s="34">
        <f>VLOOKUP($A61,'[1]Init $$'!$B$3:$CG$118,24,FALSE)</f>
        <v>137976.29999999999</v>
      </c>
      <c r="Y61" s="34">
        <f>VLOOKUP($A61,'[1]Init $$'!$B$3:$CG$118,25,FALSE)</f>
        <v>0</v>
      </c>
      <c r="Z61" s="34">
        <f>VLOOKUP($A61,'[1]Init $$'!$B$3:$CG$118,26,FALSE)</f>
        <v>0</v>
      </c>
      <c r="AA61" s="34">
        <f>VLOOKUP($A61,'[1]Init $$'!$B$3:$CG$118,27,FALSE)</f>
        <v>0</v>
      </c>
      <c r="AB61" s="43">
        <f>'Est gen ed 23 $$'!AB61/'Est gen ed 23 pos'!AB$123</f>
        <v>0</v>
      </c>
      <c r="AC61" s="43">
        <f>'Est gen ed 23 $$'!AC61/'Est gen ed 23 pos'!AC$123</f>
        <v>0</v>
      </c>
      <c r="AD61" s="43">
        <f>'Est gen ed 23 $$'!AD61/'Est gen ed 23 pos'!AD$123</f>
        <v>0</v>
      </c>
      <c r="AE61" s="43">
        <f>'Est gen ed 23 $$'!AE61/'Est gen ed 23 pos'!AE$123</f>
        <v>0</v>
      </c>
      <c r="AF61" s="34">
        <f>VLOOKUP($A61,'[1]Init $$'!$B$3:$CG$118,32,FALSE)</f>
        <v>1654521</v>
      </c>
      <c r="AG61" s="34">
        <f>VLOOKUP($A61,'[1]Init $$'!$B$3:$CG$118,33,FALSE)</f>
        <v>115050</v>
      </c>
      <c r="AH61" s="43">
        <f>'Est gen ed 23 $$'!AH61/'Est gen ed 23 pos'!AH$123</f>
        <v>1</v>
      </c>
      <c r="AI61" s="43">
        <f>'Est gen ed 23 $$'!AI61/'Est gen ed 23 pos'!AI$123</f>
        <v>1.9999999121515879</v>
      </c>
      <c r="AJ61" s="43">
        <f>'Est gen ed 23 $$'!AJ61/'Est gen ed 23 pos'!AJ$123</f>
        <v>2.9999999121515879</v>
      </c>
      <c r="AK61" s="43">
        <f>'Est gen ed 23 $$'!AK61/'Est gen ed 23 pos'!AK$123</f>
        <v>2.9999999121515879</v>
      </c>
      <c r="AL61" s="43">
        <f>'Est gen ed 23 $$'!AL61/'Est gen ed 23 pos'!AL$123</f>
        <v>5.9999994893586166</v>
      </c>
      <c r="AM61" s="43">
        <f>'Est gen ed 23 $$'!AM61/'Est gen ed 23 pos'!AM$123</f>
        <v>0</v>
      </c>
      <c r="AN61" s="43">
        <f>'Est gen ed 23 $$'!AN61/'Est gen ed 23 pos'!AN$123</f>
        <v>0</v>
      </c>
      <c r="AO61" s="43">
        <f>'Est gen ed 23 $$'!AO61/'Est gen ed 23 pos'!AO$123</f>
        <v>0</v>
      </c>
      <c r="AP61" s="34">
        <f>VLOOKUP($A61,'[1]Init $$'!$B$3:$CG$118,42,FALSE)</f>
        <v>71676</v>
      </c>
      <c r="AQ61" s="34">
        <f>VLOOKUP($A61,'[1]Init $$'!$B$3:$CG$118,43,FALSE)</f>
        <v>0</v>
      </c>
      <c r="AR61" s="43">
        <f>'Est gen ed 23 $$'!AR61/'Est gen ed 23 pos'!AR$123</f>
        <v>1</v>
      </c>
      <c r="AS61" s="43">
        <f>'Est gen ed 23 $$'!AS61/'Est gen ed 23 pos'!AS$123</f>
        <v>0</v>
      </c>
      <c r="AT61" s="43">
        <f>'Est gen ed 23 $$'!AT61/'Est gen ed 23 pos'!AT$123</f>
        <v>0</v>
      </c>
      <c r="AU61" s="34">
        <f>VLOOKUP($A61,'[1]Init $$'!$B$3:$CG$118,47,FALSE)</f>
        <v>30462.3</v>
      </c>
      <c r="AV61" s="34">
        <f>VLOOKUP($A61,'[1]Init $$'!$B$3:$CG$118,48,FALSE)</f>
        <v>27200</v>
      </c>
      <c r="AW61" s="34">
        <f>VLOOKUP($A61,'[1]Init $$'!$B$3:$CG$118,49,FALSE)</f>
        <v>27200</v>
      </c>
      <c r="AX61" s="34">
        <f>VLOOKUP($A61,'[1]Init $$'!$B$3:$CG$118,50,FALSE)</f>
        <v>10200</v>
      </c>
      <c r="AY61" s="34">
        <f>VLOOKUP($A61,'[1]Init $$'!$B$3:$CG$118,51,FALSE)</f>
        <v>0</v>
      </c>
      <c r="AZ61" s="34">
        <f>VLOOKUP($A61,'[1]Init $$'!$B$3:$CG$118,52,FALSE)</f>
        <v>20400</v>
      </c>
      <c r="BA61" s="34">
        <f>VLOOKUP($A61,'[1]Init $$'!$B$3:$CG$118,53,FALSE)</f>
        <v>0</v>
      </c>
      <c r="BB61" s="34">
        <f>VLOOKUP($A61,'[1]Init $$'!$B$3:$CG$118,54,FALSE)</f>
        <v>20400</v>
      </c>
      <c r="BC61" s="34">
        <f>VLOOKUP($A61,'[1]Init $$'!$B$3:$CG$118,55,FALSE)</f>
        <v>163653.19</v>
      </c>
      <c r="BD61" s="34">
        <f>VLOOKUP($A61,'[1]Init $$'!$B$3:$CG$118,56,FALSE)</f>
        <v>2636.05</v>
      </c>
      <c r="BE61" s="34">
        <f>VLOOKUP($A61,'[1]Init $$'!$B$3:$CG$118,57,FALSE)</f>
        <v>0</v>
      </c>
      <c r="BF61" s="43">
        <f>'Est gen ed 23 $$'!BF61/'Est gen ed 23 pos'!BF$123</f>
        <v>0</v>
      </c>
      <c r="BG61" s="43">
        <f>'Est gen ed 23 $$'!BG61/'Est gen ed 23 pos'!BG$123</f>
        <v>0</v>
      </c>
      <c r="BH61" s="34">
        <f>VLOOKUP($A61,'[1]Init $$'!$B$3:$CG$118,60,FALSE)</f>
        <v>0</v>
      </c>
      <c r="BI61" s="34">
        <f>VLOOKUP($A61,'[1]Init $$'!$B$3:$CG$118,61,FALSE)</f>
        <v>0</v>
      </c>
      <c r="BJ61" s="34">
        <f>VLOOKUP($A61,'[1]Init $$'!$B$3:$CG$118,62,FALSE)</f>
        <v>0</v>
      </c>
      <c r="BK61" s="43">
        <f>'Est gen ed 23 $$'!BK61/'Est gen ed 23 pos'!BK$123</f>
        <v>0</v>
      </c>
      <c r="BL61" s="34">
        <f>VLOOKUP($A61,'[1]Init $$'!$B$3:$CG$118,64,FALSE)</f>
        <v>0</v>
      </c>
      <c r="BM61" s="43">
        <f>'Est gen ed 23 $$'!BM61/'Est gen ed 23 pos'!BM$123</f>
        <v>0</v>
      </c>
      <c r="BN61" s="34">
        <f>VLOOKUP($A61,'[1]Init $$'!$B$3:$CG$118,66,FALSE)</f>
        <v>0</v>
      </c>
      <c r="BO61" s="43">
        <f>'Est gen ed 23 $$'!BO61/'Est gen ed 23 pos'!BO$123</f>
        <v>0</v>
      </c>
      <c r="BP61" s="34">
        <f>VLOOKUP($A61,'[1]Init $$'!$B$3:$CG$118,68,FALSE)</f>
        <v>0</v>
      </c>
      <c r="BQ61" s="43">
        <f>'Est gen ed 23 $$'!BQ61/'Est gen ed 23 pos'!BQ$123</f>
        <v>0</v>
      </c>
      <c r="BR61" s="43">
        <f>'Est gen ed 23 $$'!BR61/'Est gen ed 23 pos'!BR$123</f>
        <v>0</v>
      </c>
      <c r="BS61" s="34">
        <f>VLOOKUP($A61,'[1]Init $$'!$B$3:$CG$118,71,FALSE)</f>
        <v>0</v>
      </c>
      <c r="BT61" s="34">
        <f>VLOOKUP($A61,'[1]Init $$'!$B$3:$CG$118,72,FALSE)</f>
        <v>0</v>
      </c>
      <c r="BU61" s="34">
        <f>VLOOKUP($A61,'[1]Init $$'!$B$3:$CG$118,73,FALSE)</f>
        <v>0</v>
      </c>
      <c r="BV61" s="34">
        <f>VLOOKUP($A61,'[1]Init $$'!$B$3:$CG$118,74,FALSE)</f>
        <v>0</v>
      </c>
      <c r="BW61" s="34">
        <f>VLOOKUP($A61,'[1]Init $$'!$B$3:$CG$118,75,FALSE)</f>
        <v>0</v>
      </c>
      <c r="BX61" s="43">
        <f>'Est gen ed 23 $$'!BX61/'Est gen ed 23 pos'!BX$123</f>
        <v>0</v>
      </c>
      <c r="BY61" s="43">
        <f>'Est gen ed 23 $$'!BY61/'Est gen ed 23 pos'!BY$123</f>
        <v>0</v>
      </c>
      <c r="BZ61" s="43">
        <f>'Est gen ed 23 $$'!BZ61/'Est gen ed 23 pos'!BZ$123</f>
        <v>0</v>
      </c>
      <c r="CA61" s="34">
        <f>VLOOKUP($A61,'[1]Init $$'!$B$3:$CG$118,79,FALSE)</f>
        <v>520405.78</v>
      </c>
      <c r="CB61" s="34">
        <f>VLOOKUP($A61,'[1]Init $$'!$B$3:$CG$118,80,FALSE)</f>
        <v>62597.04</v>
      </c>
      <c r="CC61" s="34">
        <f>VLOOKUP($A61,'[1]Init $$'!$B$3:$CG$118,81,FALSE)</f>
        <v>0</v>
      </c>
      <c r="CD61" s="34">
        <f>VLOOKUP($A61,'[1]Init $$'!$B$3:$CG$118,82,FALSE)</f>
        <v>111947.49</v>
      </c>
      <c r="CE61" s="34">
        <f>VLOOKUP($A61,'[1]Init $$'!$B$3:$CG$118,83,FALSE)</f>
        <v>31547.87</v>
      </c>
      <c r="CF61" s="34">
        <f>VLOOKUP($A61,'[1]Init $$'!$B$3:$CG$118,84,FALSE)</f>
        <v>0</v>
      </c>
      <c r="CJ61" s="28">
        <f t="shared" si="2"/>
        <v>3015263.8699988229</v>
      </c>
      <c r="CK61" s="43">
        <f>'Est gen ed 23 $$'!CK61/'Est gen ed 23 pos'!CK$123</f>
        <v>0.99999604682144683</v>
      </c>
      <c r="CL61" s="43">
        <f>'Est gen ed 23 $$'!CL61/'Est gen ed 23 pos'!CL$123</f>
        <v>0.88500000000000001</v>
      </c>
      <c r="CM61" s="43">
        <f>'Est gen ed 23 $$'!CM61/'Est gen ed 23 pos'!CM$123</f>
        <v>1</v>
      </c>
      <c r="CN61" s="43">
        <f>'Est gen ed 23 $$'!CN61/'Est gen ed 23 pos'!CN$123</f>
        <v>0</v>
      </c>
      <c r="CO61" s="43">
        <f>'Est gen ed 23 $$'!CO61/'Est gen ed 23 pos'!CO$123</f>
        <v>0</v>
      </c>
      <c r="CP61" s="43">
        <f>'Est gen ed 23 $$'!CP61/'Est gen ed 23 pos'!CP$123</f>
        <v>0</v>
      </c>
      <c r="CQ61" s="43">
        <f>'Est gen ed 23 $$'!CQ61/'Est gen ed 23 pos'!CQ$123</f>
        <v>0.99999604682144683</v>
      </c>
      <c r="CR61" s="43">
        <f>'Est gen ed 23 $$'!CR61/'Est gen ed 23 pos'!CR$123</f>
        <v>0.99999604682144683</v>
      </c>
      <c r="CS61" s="43">
        <f>'Est gen ed 23 $$'!CS61/'Est gen ed 23 pos'!CS$123</f>
        <v>1.4999940702321701</v>
      </c>
      <c r="CT61" s="43">
        <f>'Est gen ed 23 $$'!CT61/'Est gen ed 23 pos'!CT$123</f>
        <v>3</v>
      </c>
      <c r="CU61" s="43">
        <f>'Est gen ed 23 $$'!CU61/'Est gen ed 23 pos'!CU$123</f>
        <v>15</v>
      </c>
      <c r="CZ61" s="43">
        <f>'Est gen ed 23 $$'!CW61/'Est gen ed 23 pos'!CZ$123</f>
        <v>0</v>
      </c>
      <c r="DB61" s="28">
        <f t="shared" si="3"/>
        <v>1654521</v>
      </c>
      <c r="DC61" s="28">
        <f t="shared" si="0"/>
        <v>143495.36000000002</v>
      </c>
      <c r="DK61" s="34"/>
      <c r="DL61" s="34"/>
    </row>
    <row r="62" spans="1:116" x14ac:dyDescent="0.2">
      <c r="A62">
        <v>370</v>
      </c>
      <c r="B62" t="s">
        <v>67</v>
      </c>
      <c r="C62" t="s">
        <v>7</v>
      </c>
      <c r="D62">
        <v>5</v>
      </c>
      <c r="E62">
        <f>VLOOKUP($A62,'[1]Init $$'!$B$3:$CG$118,4,FALSE)</f>
        <v>312</v>
      </c>
      <c r="F62">
        <f>VLOOKUP($A62,'[1]Init $$'!$B$3:$CG$118,6,FALSE)</f>
        <v>232</v>
      </c>
      <c r="G62">
        <f>VLOOKUP($A62,'[2]$$xSchpostCouncilxLevel'!$A$4:$EW$120,153,FALSE)</f>
        <v>225</v>
      </c>
      <c r="H62" s="50">
        <f t="shared" si="1"/>
        <v>7</v>
      </c>
      <c r="I62" s="4">
        <f>VLOOKUP($A62,'[1]Init $$'!$B$3:$CG$118,8,FALSE)</f>
        <v>0.52884615384615385</v>
      </c>
      <c r="J62">
        <f>VLOOKUP($A62,'[1]Init $$'!$B$3:$CG$118,7,FALSE)</f>
        <v>165</v>
      </c>
      <c r="K62" s="43">
        <f>'Est gen ed 23 $$'!K62/'Est gen ed 23 pos'!K$123</f>
        <v>1</v>
      </c>
      <c r="L62" s="43">
        <f>'Est gen ed 23 $$'!L62/'Est gen ed 23 pos'!L$123</f>
        <v>0</v>
      </c>
      <c r="M62" s="43">
        <f>'Est gen ed 23 $$'!M62/'Est gen ed 23 pos'!M$123</f>
        <v>0</v>
      </c>
      <c r="N62" s="43">
        <f>'Est gen ed 23 $$'!N62/'Est gen ed 23 pos'!N$123</f>
        <v>1</v>
      </c>
      <c r="O62" s="34">
        <f>VLOOKUP($A62,'[1]Init $$'!$B$3:$CG$118,15,FALSE)</f>
        <v>9261.9</v>
      </c>
      <c r="P62" s="43">
        <f>'Est gen ed 23 $$'!P62/'Est gen ed 23 pos'!P$123</f>
        <v>1</v>
      </c>
      <c r="Q62" s="43">
        <f>'Est gen ed 23 $$'!Q62/'Est gen ed 23 pos'!Q$123</f>
        <v>1</v>
      </c>
      <c r="R62" s="43">
        <f>'Est gen ed 23 $$'!R62/'Est gen ed 23 pos'!R$123</f>
        <v>3.0000001953611113</v>
      </c>
      <c r="S62" s="43">
        <f>'Est gen ed 23 $$'!S62/'Est gen ed 23 pos'!S$123</f>
        <v>1</v>
      </c>
      <c r="T62" s="43">
        <f>'Est gen ed 23 $$'!T62/'Est gen ed 23 pos'!T$123</f>
        <v>1.9999999121515879</v>
      </c>
      <c r="U62" s="43">
        <f>'Est gen ed 23 $$'!U62/'Est gen ed 23 pos'!U$123</f>
        <v>1</v>
      </c>
      <c r="V62" s="43">
        <f>'Est gen ed 23 $$'!V62/'Est gen ed 23 pos'!V$123</f>
        <v>2.9999999121515879</v>
      </c>
      <c r="W62" s="43">
        <f>'Est gen ed 23 $$'!W62/'Est gen ed 23 pos'!W$123</f>
        <v>5.9999994893586166</v>
      </c>
      <c r="X62" s="34">
        <f>VLOOKUP($A62,'[1]Init $$'!$B$3:$CG$118,24,FALSE)</f>
        <v>143352</v>
      </c>
      <c r="Y62" s="34">
        <f>VLOOKUP($A62,'[1]Init $$'!$B$3:$CG$118,25,FALSE)</f>
        <v>0</v>
      </c>
      <c r="Z62" s="34">
        <f>VLOOKUP($A62,'[1]Init $$'!$B$3:$CG$118,26,FALSE)</f>
        <v>0</v>
      </c>
      <c r="AA62" s="34">
        <f>VLOOKUP($A62,'[1]Init $$'!$B$3:$CG$118,27,FALSE)</f>
        <v>0</v>
      </c>
      <c r="AB62" s="43">
        <f>'Est gen ed 23 $$'!AB62/'Est gen ed 23 pos'!AB$123</f>
        <v>0</v>
      </c>
      <c r="AC62" s="43">
        <f>'Est gen ed 23 $$'!AC62/'Est gen ed 23 pos'!AC$123</f>
        <v>0</v>
      </c>
      <c r="AD62" s="43">
        <f>'Est gen ed 23 $$'!AD62/'Est gen ed 23 pos'!AD$123</f>
        <v>0</v>
      </c>
      <c r="AE62" s="43">
        <f>'Est gen ed 23 $$'!AE62/'Est gen ed 23 pos'!AE$123</f>
        <v>0</v>
      </c>
      <c r="AF62" s="34">
        <f>VLOOKUP($A62,'[1]Init $$'!$B$3:$CG$118,32,FALSE)</f>
        <v>1385736</v>
      </c>
      <c r="AG62" s="34">
        <f>VLOOKUP($A62,'[1]Init $$'!$B$3:$CG$118,33,FALSE)</f>
        <v>101400</v>
      </c>
      <c r="AH62" s="43">
        <f>'Est gen ed 23 $$'!AH62/'Est gen ed 23 pos'!AH$123</f>
        <v>1</v>
      </c>
      <c r="AI62" s="43">
        <f>'Est gen ed 23 $$'!AI62/'Est gen ed 23 pos'!AI$123</f>
        <v>3.9999998243031758</v>
      </c>
      <c r="AJ62" s="43">
        <f>'Est gen ed 23 $$'!AJ62/'Est gen ed 23 pos'!AJ$123</f>
        <v>2.9999999121515879</v>
      </c>
      <c r="AK62" s="43">
        <f>'Est gen ed 23 $$'!AK62/'Est gen ed 23 pos'!AK$123</f>
        <v>3.9999998243031758</v>
      </c>
      <c r="AL62" s="43">
        <f>'Est gen ed 23 $$'!AL62/'Est gen ed 23 pos'!AL$123</f>
        <v>6.9999994893586166</v>
      </c>
      <c r="AM62" s="43">
        <f>'Est gen ed 23 $$'!AM62/'Est gen ed 23 pos'!AM$123</f>
        <v>0</v>
      </c>
      <c r="AN62" s="43">
        <f>'Est gen ed 23 $$'!AN62/'Est gen ed 23 pos'!AN$123</f>
        <v>1.0000010424267696</v>
      </c>
      <c r="AO62" s="43">
        <f>'Est gen ed 23 $$'!AO62/'Est gen ed 23 pos'!AO$123</f>
        <v>0</v>
      </c>
      <c r="AP62" s="34">
        <f>VLOOKUP($A62,'[1]Init $$'!$B$3:$CG$118,42,FALSE)</f>
        <v>116473.5</v>
      </c>
      <c r="AQ62" s="34">
        <f>VLOOKUP($A62,'[1]Init $$'!$B$3:$CG$118,43,FALSE)</f>
        <v>0</v>
      </c>
      <c r="AR62" s="43">
        <f>'Est gen ed 23 $$'!AR62/'Est gen ed 23 pos'!AR$123</f>
        <v>1.9999999121515879</v>
      </c>
      <c r="AS62" s="43">
        <f>'Est gen ed 23 $$'!AS62/'Est gen ed 23 pos'!AS$123</f>
        <v>0</v>
      </c>
      <c r="AT62" s="43">
        <f>'Est gen ed 23 $$'!AT62/'Est gen ed 23 pos'!AT$123</f>
        <v>0</v>
      </c>
      <c r="AU62" s="34">
        <f>VLOOKUP($A62,'[1]Init $$'!$B$3:$CG$118,47,FALSE)</f>
        <v>60924.6</v>
      </c>
      <c r="AV62" s="34">
        <f>VLOOKUP($A62,'[1]Init $$'!$B$3:$CG$118,48,FALSE)</f>
        <v>20400</v>
      </c>
      <c r="AW62" s="34">
        <f>VLOOKUP($A62,'[1]Init $$'!$B$3:$CG$118,49,FALSE)</f>
        <v>20400</v>
      </c>
      <c r="AX62" s="34">
        <f>VLOOKUP($A62,'[1]Init $$'!$B$3:$CG$118,50,FALSE)</f>
        <v>10200</v>
      </c>
      <c r="AY62" s="34">
        <f>VLOOKUP($A62,'[1]Init $$'!$B$3:$CG$118,51,FALSE)</f>
        <v>0</v>
      </c>
      <c r="AZ62" s="34">
        <f>VLOOKUP($A62,'[1]Init $$'!$B$3:$CG$118,52,FALSE)</f>
        <v>13600</v>
      </c>
      <c r="BA62" s="34">
        <f>VLOOKUP($A62,'[1]Init $$'!$B$3:$CG$118,53,FALSE)</f>
        <v>0</v>
      </c>
      <c r="BB62" s="34">
        <f>VLOOKUP($A62,'[1]Init $$'!$B$3:$CG$118,54,FALSE)</f>
        <v>13600</v>
      </c>
      <c r="BC62" s="34">
        <f>VLOOKUP($A62,'[1]Init $$'!$B$3:$CG$118,55,FALSE)</f>
        <v>144603.60999999999</v>
      </c>
      <c r="BD62" s="34">
        <f>VLOOKUP($A62,'[1]Init $$'!$B$3:$CG$118,56,FALSE)</f>
        <v>2329.21</v>
      </c>
      <c r="BE62" s="34">
        <f>VLOOKUP($A62,'[1]Init $$'!$B$3:$CG$118,57,FALSE)</f>
        <v>0</v>
      </c>
      <c r="BF62" s="43">
        <f>'Est gen ed 23 $$'!BF62/'Est gen ed 23 pos'!BF$123</f>
        <v>1</v>
      </c>
      <c r="BG62" s="43">
        <f>'Est gen ed 23 $$'!BG62/'Est gen ed 23 pos'!BG$123</f>
        <v>0</v>
      </c>
      <c r="BH62" s="34">
        <f>VLOOKUP($A62,'[1]Init $$'!$B$3:$CG$118,60,FALSE)</f>
        <v>0</v>
      </c>
      <c r="BI62" s="34">
        <f>VLOOKUP($A62,'[1]Init $$'!$B$3:$CG$118,61,FALSE)</f>
        <v>0</v>
      </c>
      <c r="BJ62" s="34">
        <f>VLOOKUP($A62,'[1]Init $$'!$B$3:$CG$118,62,FALSE)</f>
        <v>0</v>
      </c>
      <c r="BK62" s="43">
        <f>'Est gen ed 23 $$'!BK62/'Est gen ed 23 pos'!BK$123</f>
        <v>0</v>
      </c>
      <c r="BL62" s="34">
        <f>VLOOKUP($A62,'[1]Init $$'!$B$3:$CG$118,64,FALSE)</f>
        <v>0</v>
      </c>
      <c r="BM62" s="43">
        <f>'Est gen ed 23 $$'!BM62/'Est gen ed 23 pos'!BM$123</f>
        <v>0</v>
      </c>
      <c r="BN62" s="34">
        <f>VLOOKUP($A62,'[1]Init $$'!$B$3:$CG$118,66,FALSE)</f>
        <v>0</v>
      </c>
      <c r="BO62" s="43">
        <f>'Est gen ed 23 $$'!BO62/'Est gen ed 23 pos'!BO$123</f>
        <v>0</v>
      </c>
      <c r="BP62" s="34">
        <f>VLOOKUP($A62,'[1]Init $$'!$B$3:$CG$118,68,FALSE)</f>
        <v>0</v>
      </c>
      <c r="BQ62" s="43">
        <f>'Est gen ed 23 $$'!BQ62/'Est gen ed 23 pos'!BQ$123</f>
        <v>0</v>
      </c>
      <c r="BR62" s="43">
        <f>'Est gen ed 23 $$'!BR62/'Est gen ed 23 pos'!BR$123</f>
        <v>0</v>
      </c>
      <c r="BS62" s="34">
        <f>VLOOKUP($A62,'[1]Init $$'!$B$3:$CG$118,71,FALSE)</f>
        <v>0</v>
      </c>
      <c r="BT62" s="34">
        <f>VLOOKUP($A62,'[1]Init $$'!$B$3:$CG$118,72,FALSE)</f>
        <v>0</v>
      </c>
      <c r="BU62" s="34">
        <f>VLOOKUP($A62,'[1]Init $$'!$B$3:$CG$118,73,FALSE)</f>
        <v>0</v>
      </c>
      <c r="BV62" s="34">
        <f>VLOOKUP($A62,'[1]Init $$'!$B$3:$CG$118,74,FALSE)</f>
        <v>0</v>
      </c>
      <c r="BW62" s="34">
        <f>VLOOKUP($A62,'[1]Init $$'!$B$3:$CG$118,75,FALSE)</f>
        <v>0</v>
      </c>
      <c r="BX62" s="43">
        <f>'Est gen ed 23 $$'!BX62/'Est gen ed 23 pos'!BX$123</f>
        <v>0</v>
      </c>
      <c r="BY62" s="43">
        <f>'Est gen ed 23 $$'!BY62/'Est gen ed 23 pos'!BY$123</f>
        <v>0</v>
      </c>
      <c r="BZ62" s="43">
        <f>'Est gen ed 23 $$'!BZ62/'Est gen ed 23 pos'!BZ$123</f>
        <v>0</v>
      </c>
      <c r="CA62" s="34">
        <f>VLOOKUP($A62,'[1]Init $$'!$B$3:$CG$118,79,FALSE)</f>
        <v>442613.16</v>
      </c>
      <c r="CB62" s="34">
        <f>VLOOKUP($A62,'[1]Init $$'!$B$3:$CG$118,80,FALSE)</f>
        <v>48022.92</v>
      </c>
      <c r="CC62" s="34">
        <f>VLOOKUP($A62,'[1]Init $$'!$B$3:$CG$118,81,FALSE)</f>
        <v>0</v>
      </c>
      <c r="CD62" s="34">
        <f>VLOOKUP($A62,'[1]Init $$'!$B$3:$CG$118,82,FALSE)</f>
        <v>45730.51</v>
      </c>
      <c r="CE62" s="34">
        <f>VLOOKUP($A62,'[1]Init $$'!$B$3:$CG$118,83,FALSE)</f>
        <v>120439.03999999999</v>
      </c>
      <c r="CF62" s="34">
        <f>VLOOKUP($A62,'[1]Init $$'!$B$3:$CG$118,84,FALSE)</f>
        <v>0</v>
      </c>
      <c r="CJ62" s="28">
        <f t="shared" si="2"/>
        <v>2699129.4499995136</v>
      </c>
      <c r="CK62" s="43">
        <f>'Est gen ed 23 $$'!CK62/'Est gen ed 23 pos'!CK$123</f>
        <v>0.99999604682144683</v>
      </c>
      <c r="CL62" s="43">
        <f>'Est gen ed 23 $$'!CL62/'Est gen ed 23 pos'!CL$123</f>
        <v>0.78</v>
      </c>
      <c r="CM62" s="43">
        <f>'Est gen ed 23 $$'!CM62/'Est gen ed 23 pos'!CM$123</f>
        <v>1</v>
      </c>
      <c r="CN62" s="43">
        <f>'Est gen ed 23 $$'!CN62/'Est gen ed 23 pos'!CN$123</f>
        <v>0</v>
      </c>
      <c r="CO62" s="43">
        <f>'Est gen ed 23 $$'!CO62/'Est gen ed 23 pos'!CO$123</f>
        <v>0</v>
      </c>
      <c r="CP62" s="43">
        <f>'Est gen ed 23 $$'!CP62/'Est gen ed 23 pos'!CP$123</f>
        <v>0</v>
      </c>
      <c r="CQ62" s="43">
        <f>'Est gen ed 23 $$'!CQ62/'Est gen ed 23 pos'!CQ$123</f>
        <v>0.99999604682144683</v>
      </c>
      <c r="CR62" s="43">
        <f>'Est gen ed 23 $$'!CR62/'Est gen ed 23 pos'!CR$123</f>
        <v>0.99999604682144683</v>
      </c>
      <c r="CS62" s="43">
        <f>'Est gen ed 23 $$'!CS62/'Est gen ed 23 pos'!CS$123</f>
        <v>1.4999940702321701</v>
      </c>
      <c r="CT62" s="43">
        <f>'Est gen ed 23 $$'!CT62/'Est gen ed 23 pos'!CT$123</f>
        <v>2</v>
      </c>
      <c r="CU62" s="43">
        <f>'Est gen ed 23 $$'!CU62/'Est gen ed 23 pos'!CU$123</f>
        <v>14</v>
      </c>
      <c r="CZ62" s="43">
        <f>'Est gen ed 23 $$'!CW62/'Est gen ed 23 pos'!CZ$123</f>
        <v>0</v>
      </c>
      <c r="DB62" s="28">
        <f t="shared" si="3"/>
        <v>1385736</v>
      </c>
      <c r="DC62" s="28">
        <f t="shared" si="0"/>
        <v>166169.54999999999</v>
      </c>
      <c r="DK62" s="34"/>
      <c r="DL62" s="34"/>
    </row>
    <row r="63" spans="1:116" x14ac:dyDescent="0.2">
      <c r="A63">
        <v>264</v>
      </c>
      <c r="B63" t="s">
        <v>66</v>
      </c>
      <c r="C63" t="s">
        <v>7</v>
      </c>
      <c r="D63">
        <v>4</v>
      </c>
      <c r="E63">
        <f>VLOOKUP($A63,'[1]Init $$'!$B$3:$CG$118,4,FALSE)</f>
        <v>267</v>
      </c>
      <c r="F63">
        <f>VLOOKUP($A63,'[1]Init $$'!$B$3:$CG$118,6,FALSE)</f>
        <v>208</v>
      </c>
      <c r="G63">
        <f>VLOOKUP($A63,'[2]$$xSchpostCouncilxLevel'!$A$4:$EW$120,153,FALSE)</f>
        <v>193</v>
      </c>
      <c r="H63" s="50">
        <f t="shared" si="1"/>
        <v>15</v>
      </c>
      <c r="I63" s="4">
        <f>VLOOKUP($A63,'[1]Init $$'!$B$3:$CG$118,8,FALSE)</f>
        <v>0.48689138576779029</v>
      </c>
      <c r="J63">
        <f>VLOOKUP($A63,'[1]Init $$'!$B$3:$CG$118,7,FALSE)</f>
        <v>130</v>
      </c>
      <c r="K63" s="43">
        <f>'Est gen ed 23 $$'!K63/'Est gen ed 23 pos'!K$123</f>
        <v>1</v>
      </c>
      <c r="L63" s="43">
        <f>'Est gen ed 23 $$'!L63/'Est gen ed 23 pos'!L$123</f>
        <v>0</v>
      </c>
      <c r="M63" s="43">
        <f>'Est gen ed 23 $$'!M63/'Est gen ed 23 pos'!M$123</f>
        <v>0</v>
      </c>
      <c r="N63" s="43">
        <f>'Est gen ed 23 $$'!N63/'Est gen ed 23 pos'!N$123</f>
        <v>1</v>
      </c>
      <c r="O63" s="34">
        <f>VLOOKUP($A63,'[1]Init $$'!$B$3:$CG$118,15,FALSE)</f>
        <v>5510.15</v>
      </c>
      <c r="P63" s="43">
        <f>'Est gen ed 23 $$'!P63/'Est gen ed 23 pos'!P$123</f>
        <v>1</v>
      </c>
      <c r="Q63" s="43">
        <f>'Est gen ed 23 $$'!Q63/'Est gen ed 23 pos'!Q$123</f>
        <v>1</v>
      </c>
      <c r="R63" s="43">
        <f>'Est gen ed 23 $$'!R63/'Est gen ed 23 pos'!R$123</f>
        <v>1</v>
      </c>
      <c r="S63" s="43">
        <f>'Est gen ed 23 $$'!S63/'Est gen ed 23 pos'!S$123</f>
        <v>1</v>
      </c>
      <c r="T63" s="43">
        <f>'Est gen ed 23 $$'!T63/'Est gen ed 23 pos'!T$123</f>
        <v>1</v>
      </c>
      <c r="U63" s="43">
        <f>'Est gen ed 23 $$'!U63/'Est gen ed 23 pos'!U$123</f>
        <v>1.9999999121515879</v>
      </c>
      <c r="V63" s="43">
        <f>'Est gen ed 23 $$'!V63/'Est gen ed 23 pos'!V$123</f>
        <v>1</v>
      </c>
      <c r="W63" s="43">
        <f>'Est gen ed 23 $$'!W63/'Est gen ed 23 pos'!W$123</f>
        <v>3.9999997446793079</v>
      </c>
      <c r="X63" s="34">
        <f>VLOOKUP($A63,'[1]Init $$'!$B$3:$CG$118,24,FALSE)</f>
        <v>105722.1</v>
      </c>
      <c r="Y63" s="34">
        <f>VLOOKUP($A63,'[1]Init $$'!$B$3:$CG$118,25,FALSE)</f>
        <v>0</v>
      </c>
      <c r="Z63" s="34">
        <f>VLOOKUP($A63,'[1]Init $$'!$B$3:$CG$118,26,FALSE)</f>
        <v>0</v>
      </c>
      <c r="AA63" s="34">
        <f>VLOOKUP($A63,'[1]Init $$'!$B$3:$CG$118,27,FALSE)</f>
        <v>0</v>
      </c>
      <c r="AB63" s="43">
        <f>'Est gen ed 23 $$'!AB63/'Est gen ed 23 pos'!AB$123</f>
        <v>0</v>
      </c>
      <c r="AC63" s="43">
        <f>'Est gen ed 23 $$'!AC63/'Est gen ed 23 pos'!AC$123</f>
        <v>0</v>
      </c>
      <c r="AD63" s="43">
        <f>'Est gen ed 23 $$'!AD63/'Est gen ed 23 pos'!AD$123</f>
        <v>0</v>
      </c>
      <c r="AE63" s="43">
        <f>'Est gen ed 23 $$'!AE63/'Est gen ed 23 pos'!AE$123</f>
        <v>0</v>
      </c>
      <c r="AF63" s="34">
        <f>VLOOKUP($A63,'[1]Init $$'!$B$3:$CG$118,32,FALSE)</f>
        <v>1242384</v>
      </c>
      <c r="AG63" s="34">
        <f>VLOOKUP($A63,'[1]Init $$'!$B$3:$CG$118,33,FALSE)</f>
        <v>86775</v>
      </c>
      <c r="AH63" s="43">
        <f>'Est gen ed 23 $$'!AH63/'Est gen ed 23 pos'!AH$123</f>
        <v>1</v>
      </c>
      <c r="AI63" s="43">
        <f>'Est gen ed 23 $$'!AI63/'Est gen ed 23 pos'!AI$123</f>
        <v>2.9999999121515879</v>
      </c>
      <c r="AJ63" s="43">
        <f>'Est gen ed 23 $$'!AJ63/'Est gen ed 23 pos'!AJ$123</f>
        <v>2.9999999121515879</v>
      </c>
      <c r="AK63" s="43">
        <f>'Est gen ed 23 $$'!AK63/'Est gen ed 23 pos'!AK$123</f>
        <v>2.9999999121515879</v>
      </c>
      <c r="AL63" s="43">
        <f>'Est gen ed 23 $$'!AL63/'Est gen ed 23 pos'!AL$123</f>
        <v>3.9999997446793079</v>
      </c>
      <c r="AM63" s="43">
        <f>'Est gen ed 23 $$'!AM63/'Est gen ed 23 pos'!AM$123</f>
        <v>0</v>
      </c>
      <c r="AN63" s="43">
        <f>'Est gen ed 23 $$'!AN63/'Est gen ed 23 pos'!AN$123</f>
        <v>1.0000010424267696</v>
      </c>
      <c r="AO63" s="43">
        <f>'Est gen ed 23 $$'!AO63/'Est gen ed 23 pos'!AO$123</f>
        <v>0</v>
      </c>
      <c r="AP63" s="34">
        <f>VLOOKUP($A63,'[1]Init $$'!$B$3:$CG$118,42,FALSE)</f>
        <v>71676</v>
      </c>
      <c r="AQ63" s="34">
        <f>VLOOKUP($A63,'[1]Init $$'!$B$3:$CG$118,43,FALSE)</f>
        <v>0</v>
      </c>
      <c r="AR63" s="43">
        <f>'Est gen ed 23 $$'!AR63/'Est gen ed 23 pos'!AR$123</f>
        <v>6.4999997803789693</v>
      </c>
      <c r="AS63" s="43">
        <f>'Est gen ed 23 $$'!AS63/'Est gen ed 23 pos'!AS$123</f>
        <v>0</v>
      </c>
      <c r="AT63" s="43">
        <f>'Est gen ed 23 $$'!AT63/'Est gen ed 23 pos'!AT$123</f>
        <v>0</v>
      </c>
      <c r="AU63" s="34">
        <f>VLOOKUP($A63,'[1]Init $$'!$B$3:$CG$118,47,FALSE)</f>
        <v>240114.6</v>
      </c>
      <c r="AV63" s="34">
        <f>VLOOKUP($A63,'[1]Init $$'!$B$3:$CG$118,48,FALSE)</f>
        <v>20400</v>
      </c>
      <c r="AW63" s="34">
        <f>VLOOKUP($A63,'[1]Init $$'!$B$3:$CG$118,49,FALSE)</f>
        <v>13600</v>
      </c>
      <c r="AX63" s="34">
        <f>VLOOKUP($A63,'[1]Init $$'!$B$3:$CG$118,50,FALSE)</f>
        <v>10200</v>
      </c>
      <c r="AY63" s="34">
        <f>VLOOKUP($A63,'[1]Init $$'!$B$3:$CG$118,51,FALSE)</f>
        <v>0</v>
      </c>
      <c r="AZ63" s="34">
        <f>VLOOKUP($A63,'[1]Init $$'!$B$3:$CG$118,52,FALSE)</f>
        <v>20400</v>
      </c>
      <c r="BA63" s="34">
        <f>VLOOKUP($A63,'[1]Init $$'!$B$3:$CG$118,53,FALSE)</f>
        <v>0</v>
      </c>
      <c r="BB63" s="34">
        <f>VLOOKUP($A63,'[1]Init $$'!$B$3:$CG$118,54,FALSE)</f>
        <v>13600</v>
      </c>
      <c r="BC63" s="34">
        <f>VLOOKUP($A63,'[1]Init $$'!$B$3:$CG$118,55,FALSE)</f>
        <v>99577.34</v>
      </c>
      <c r="BD63" s="34">
        <f>VLOOKUP($A63,'[1]Init $$'!$B$3:$CG$118,56,FALSE)</f>
        <v>1603.95</v>
      </c>
      <c r="BE63" s="34">
        <f>VLOOKUP($A63,'[1]Init $$'!$B$3:$CG$118,57,FALSE)</f>
        <v>0</v>
      </c>
      <c r="BF63" s="43">
        <f>'Est gen ed 23 $$'!BF63/'Est gen ed 23 pos'!BF$123</f>
        <v>0</v>
      </c>
      <c r="BG63" s="43">
        <f>'Est gen ed 23 $$'!BG63/'Est gen ed 23 pos'!BG$123</f>
        <v>0</v>
      </c>
      <c r="BH63" s="34">
        <f>VLOOKUP($A63,'[1]Init $$'!$B$3:$CG$118,60,FALSE)</f>
        <v>0</v>
      </c>
      <c r="BI63" s="34">
        <f>VLOOKUP($A63,'[1]Init $$'!$B$3:$CG$118,61,FALSE)</f>
        <v>0</v>
      </c>
      <c r="BJ63" s="34">
        <f>VLOOKUP($A63,'[1]Init $$'!$B$3:$CG$118,62,FALSE)</f>
        <v>0</v>
      </c>
      <c r="BK63" s="43">
        <f>'Est gen ed 23 $$'!BK63/'Est gen ed 23 pos'!BK$123</f>
        <v>0</v>
      </c>
      <c r="BL63" s="34">
        <f>VLOOKUP($A63,'[1]Init $$'!$B$3:$CG$118,64,FALSE)</f>
        <v>0</v>
      </c>
      <c r="BM63" s="43">
        <f>'Est gen ed 23 $$'!BM63/'Est gen ed 23 pos'!BM$123</f>
        <v>0</v>
      </c>
      <c r="BN63" s="34">
        <f>VLOOKUP($A63,'[1]Init $$'!$B$3:$CG$118,66,FALSE)</f>
        <v>0</v>
      </c>
      <c r="BO63" s="43">
        <f>'Est gen ed 23 $$'!BO63/'Est gen ed 23 pos'!BO$123</f>
        <v>0</v>
      </c>
      <c r="BP63" s="34">
        <f>VLOOKUP($A63,'[1]Init $$'!$B$3:$CG$118,68,FALSE)</f>
        <v>0</v>
      </c>
      <c r="BQ63" s="43">
        <f>'Est gen ed 23 $$'!BQ63/'Est gen ed 23 pos'!BQ$123</f>
        <v>0</v>
      </c>
      <c r="BR63" s="43">
        <f>'Est gen ed 23 $$'!BR63/'Est gen ed 23 pos'!BR$123</f>
        <v>0</v>
      </c>
      <c r="BS63" s="34">
        <f>VLOOKUP($A63,'[1]Init $$'!$B$3:$CG$118,71,FALSE)</f>
        <v>0</v>
      </c>
      <c r="BT63" s="34">
        <f>VLOOKUP($A63,'[1]Init $$'!$B$3:$CG$118,72,FALSE)</f>
        <v>0</v>
      </c>
      <c r="BU63" s="34">
        <f>VLOOKUP($A63,'[1]Init $$'!$B$3:$CG$118,73,FALSE)</f>
        <v>15325</v>
      </c>
      <c r="BV63" s="34">
        <f>VLOOKUP($A63,'[1]Init $$'!$B$3:$CG$118,74,FALSE)</f>
        <v>0</v>
      </c>
      <c r="BW63" s="34">
        <f>VLOOKUP($A63,'[1]Init $$'!$B$3:$CG$118,75,FALSE)</f>
        <v>0</v>
      </c>
      <c r="BX63" s="43">
        <f>'Est gen ed 23 $$'!BX63/'Est gen ed 23 pos'!BX$123</f>
        <v>0</v>
      </c>
      <c r="BY63" s="43">
        <f>'Est gen ed 23 $$'!BY63/'Est gen ed 23 pos'!BY$123</f>
        <v>0</v>
      </c>
      <c r="BZ63" s="43">
        <f>'Est gen ed 23 $$'!BZ63/'Est gen ed 23 pos'!BZ$123</f>
        <v>0</v>
      </c>
      <c r="CA63" s="34">
        <f>VLOOKUP($A63,'[1]Init $$'!$B$3:$CG$118,79,FALSE)</f>
        <v>348725.52</v>
      </c>
      <c r="CB63" s="34">
        <f>VLOOKUP($A63,'[1]Init $$'!$B$3:$CG$118,80,FALSE)</f>
        <v>27714.720000000001</v>
      </c>
      <c r="CC63" s="34">
        <f>VLOOKUP($A63,'[1]Init $$'!$B$3:$CG$118,81,FALSE)</f>
        <v>338791.02</v>
      </c>
      <c r="CD63" s="34">
        <f>VLOOKUP($A63,'[1]Init $$'!$B$3:$CG$118,82,FALSE)</f>
        <v>0</v>
      </c>
      <c r="CE63" s="34">
        <f>VLOOKUP($A63,'[1]Init $$'!$B$3:$CG$118,83,FALSE)</f>
        <v>187336.64</v>
      </c>
      <c r="CF63" s="34">
        <f>VLOOKUP($A63,'[1]Init $$'!$B$3:$CG$118,84,FALSE)</f>
        <v>646903.48</v>
      </c>
      <c r="CJ63" s="28">
        <f t="shared" si="2"/>
        <v>3496395.0199999614</v>
      </c>
      <c r="CK63" s="43">
        <f>'Est gen ed 23 $$'!CK63/'Est gen ed 23 pos'!CK$123</f>
        <v>0.99999604682144683</v>
      </c>
      <c r="CL63" s="43">
        <f>'Est gen ed 23 $$'!CL63/'Est gen ed 23 pos'!CL$123</f>
        <v>0</v>
      </c>
      <c r="CM63" s="43">
        <f>'Est gen ed 23 $$'!CM63/'Est gen ed 23 pos'!CM$123</f>
        <v>0.5</v>
      </c>
      <c r="CN63" s="43">
        <f>'Est gen ed 23 $$'!CN63/'Est gen ed 23 pos'!CN$123</f>
        <v>0</v>
      </c>
      <c r="CO63" s="43">
        <f>'Est gen ed 23 $$'!CO63/'Est gen ed 23 pos'!CO$123</f>
        <v>0</v>
      </c>
      <c r="CP63" s="43">
        <f>'Est gen ed 23 $$'!CP63/'Est gen ed 23 pos'!CP$123</f>
        <v>0</v>
      </c>
      <c r="CQ63" s="43">
        <f>'Est gen ed 23 $$'!CQ63/'Est gen ed 23 pos'!CQ$123</f>
        <v>0.99999604682144683</v>
      </c>
      <c r="CR63" s="43">
        <f>'Est gen ed 23 $$'!CR63/'Est gen ed 23 pos'!CR$123</f>
        <v>0.99999604682144683</v>
      </c>
      <c r="CS63" s="43">
        <f>'Est gen ed 23 $$'!CS63/'Est gen ed 23 pos'!CS$123</f>
        <v>1.4999940702321701</v>
      </c>
      <c r="CT63" s="43">
        <f>'Est gen ed 23 $$'!CT63/'Est gen ed 23 pos'!CT$123</f>
        <v>2</v>
      </c>
      <c r="CU63" s="43">
        <f>'Est gen ed 23 $$'!CU63/'Est gen ed 23 pos'!CU$123</f>
        <v>12.999999999999998</v>
      </c>
      <c r="CZ63" s="43">
        <f>'Est gen ed 23 $$'!CW63/'Est gen ed 23 pos'!CZ$123</f>
        <v>0</v>
      </c>
      <c r="DB63" s="28">
        <f t="shared" si="3"/>
        <v>1242384</v>
      </c>
      <c r="DC63" s="28">
        <f t="shared" si="0"/>
        <v>1173031.1400000001</v>
      </c>
      <c r="DK63" s="34"/>
      <c r="DL63" s="34"/>
    </row>
    <row r="64" spans="1:116" x14ac:dyDescent="0.2">
      <c r="A64">
        <v>266</v>
      </c>
      <c r="B64" t="s">
        <v>65</v>
      </c>
      <c r="C64" t="s">
        <v>4</v>
      </c>
      <c r="D64">
        <v>8</v>
      </c>
      <c r="E64">
        <f>VLOOKUP($A64,'[1]Init $$'!$B$3:$CG$118,4,FALSE)</f>
        <v>421</v>
      </c>
      <c r="F64">
        <f>VLOOKUP($A64,'[1]Init $$'!$B$3:$CG$118,6,FALSE)</f>
        <v>361</v>
      </c>
      <c r="G64">
        <f>VLOOKUP($A64,'[2]$$xSchpostCouncilxLevel'!$A$4:$EW$120,153,FALSE)</f>
        <v>396</v>
      </c>
      <c r="H64" s="50">
        <f t="shared" si="1"/>
        <v>-35</v>
      </c>
      <c r="I64" s="4">
        <f>VLOOKUP($A64,'[1]Init $$'!$B$3:$CG$118,8,FALSE)</f>
        <v>0.57244655581947745</v>
      </c>
      <c r="J64">
        <f>VLOOKUP($A64,'[1]Init $$'!$B$3:$CG$118,7,FALSE)</f>
        <v>241</v>
      </c>
      <c r="K64" s="43">
        <f>'Est gen ed 23 $$'!K64/'Est gen ed 23 pos'!K$123</f>
        <v>1</v>
      </c>
      <c r="L64" s="43">
        <f>'Est gen ed 23 $$'!L64/'Est gen ed 23 pos'!L$123</f>
        <v>0.49999995607579389</v>
      </c>
      <c r="M64" s="43">
        <f>'Est gen ed 23 $$'!M64/'Est gen ed 23 pos'!M$123</f>
        <v>0</v>
      </c>
      <c r="N64" s="43">
        <f>'Est gen ed 23 $$'!N64/'Est gen ed 23 pos'!N$123</f>
        <v>1</v>
      </c>
      <c r="O64" s="34">
        <f>VLOOKUP($A64,'[1]Init $$'!$B$3:$CG$118,15,FALSE)</f>
        <v>6475.5</v>
      </c>
      <c r="P64" s="43">
        <f>'Est gen ed 23 $$'!P64/'Est gen ed 23 pos'!P$123</f>
        <v>1</v>
      </c>
      <c r="Q64" s="43">
        <f>'Est gen ed 23 $$'!Q64/'Est gen ed 23 pos'!Q$123</f>
        <v>1</v>
      </c>
      <c r="R64" s="43">
        <f>'Est gen ed 23 $$'!R64/'Est gen ed 23 pos'!R$123</f>
        <v>2.0000001953611113</v>
      </c>
      <c r="S64" s="43">
        <f>'Est gen ed 23 $$'!S64/'Est gen ed 23 pos'!S$123</f>
        <v>1</v>
      </c>
      <c r="T64" s="43">
        <f>'Est gen ed 23 $$'!T64/'Est gen ed 23 pos'!T$123</f>
        <v>1.9999999121515879</v>
      </c>
      <c r="U64" s="43">
        <f>'Est gen ed 23 $$'!U64/'Est gen ed 23 pos'!U$123</f>
        <v>0</v>
      </c>
      <c r="V64" s="43">
        <f>'Est gen ed 23 $$'!V64/'Est gen ed 23 pos'!V$123</f>
        <v>1.9999999121515879</v>
      </c>
      <c r="W64" s="43">
        <f>'Est gen ed 23 $$'!W64/'Est gen ed 23 pos'!W$123</f>
        <v>3.9999997446793079</v>
      </c>
      <c r="X64" s="34">
        <f>VLOOKUP($A64,'[1]Init $$'!$B$3:$CG$118,24,FALSE)</f>
        <v>107514</v>
      </c>
      <c r="Y64" s="34">
        <f>VLOOKUP($A64,'[1]Init $$'!$B$3:$CG$118,25,FALSE)</f>
        <v>0</v>
      </c>
      <c r="Z64" s="34">
        <f>VLOOKUP($A64,'[1]Init $$'!$B$3:$CG$118,26,FALSE)</f>
        <v>0</v>
      </c>
      <c r="AA64" s="34">
        <f>VLOOKUP($A64,'[1]Init $$'!$B$3:$CG$118,27,FALSE)</f>
        <v>539063.25</v>
      </c>
      <c r="AB64" s="43">
        <f>'Est gen ed 23 $$'!AB64/'Est gen ed 23 pos'!AB$123</f>
        <v>0</v>
      </c>
      <c r="AC64" s="43">
        <f>'Est gen ed 23 $$'!AC64/'Est gen ed 23 pos'!AC$123</f>
        <v>0</v>
      </c>
      <c r="AD64" s="43">
        <f>'Est gen ed 23 $$'!AD64/'Est gen ed 23 pos'!AD$123</f>
        <v>0</v>
      </c>
      <c r="AE64" s="43">
        <f>'Est gen ed 23 $$'!AE64/'Est gen ed 23 pos'!AE$123</f>
        <v>0</v>
      </c>
      <c r="AF64" s="34">
        <f>VLOOKUP($A64,'[1]Init $$'!$B$3:$CG$118,32,FALSE)</f>
        <v>2156253</v>
      </c>
      <c r="AG64" s="34">
        <f>VLOOKUP($A64,'[1]Init $$'!$B$3:$CG$118,33,FALSE)</f>
        <v>138930</v>
      </c>
      <c r="AH64" s="43">
        <f>'Est gen ed 23 $$'!AH64/'Est gen ed 23 pos'!AH$123</f>
        <v>1</v>
      </c>
      <c r="AI64" s="43">
        <f>'Est gen ed 23 $$'!AI64/'Est gen ed 23 pos'!AI$123</f>
        <v>1.9999999121515879</v>
      </c>
      <c r="AJ64" s="43">
        <f>'Est gen ed 23 $$'!AJ64/'Est gen ed 23 pos'!AJ$123</f>
        <v>4.9999998243031758</v>
      </c>
      <c r="AK64" s="43">
        <f>'Est gen ed 23 $$'!AK64/'Est gen ed 23 pos'!AK$123</f>
        <v>2.9999999121515879</v>
      </c>
      <c r="AL64" s="43">
        <f>'Est gen ed 23 $$'!AL64/'Est gen ed 23 pos'!AL$123</f>
        <v>4.9999994893586166</v>
      </c>
      <c r="AM64" s="43">
        <f>'Est gen ed 23 $$'!AM64/'Est gen ed 23 pos'!AM$123</f>
        <v>0</v>
      </c>
      <c r="AN64" s="43">
        <f>'Est gen ed 23 $$'!AN64/'Est gen ed 23 pos'!AN$123</f>
        <v>0</v>
      </c>
      <c r="AO64" s="43">
        <f>'Est gen ed 23 $$'!AO64/'Est gen ed 23 pos'!AO$123</f>
        <v>0</v>
      </c>
      <c r="AP64" s="34">
        <f>VLOOKUP($A64,'[1]Init $$'!$B$3:$CG$118,42,FALSE)</f>
        <v>103930.2</v>
      </c>
      <c r="AQ64" s="34">
        <f>VLOOKUP($A64,'[1]Init $$'!$B$3:$CG$118,43,FALSE)</f>
        <v>0</v>
      </c>
      <c r="AR64" s="43">
        <f>'Est gen ed 23 $$'!AR64/'Est gen ed 23 pos'!AR$123</f>
        <v>1</v>
      </c>
      <c r="AS64" s="43">
        <f>'Est gen ed 23 $$'!AS64/'Est gen ed 23 pos'!AS$123</f>
        <v>0</v>
      </c>
      <c r="AT64" s="43">
        <f>'Est gen ed 23 $$'!AT64/'Est gen ed 23 pos'!AT$123</f>
        <v>0</v>
      </c>
      <c r="AU64" s="34">
        <f>VLOOKUP($A64,'[1]Init $$'!$B$3:$CG$118,47,FALSE)</f>
        <v>30462.3</v>
      </c>
      <c r="AV64" s="34">
        <f>VLOOKUP($A64,'[1]Init $$'!$B$3:$CG$118,48,FALSE)</f>
        <v>34000</v>
      </c>
      <c r="AW64" s="34">
        <f>VLOOKUP($A64,'[1]Init $$'!$B$3:$CG$118,49,FALSE)</f>
        <v>34000</v>
      </c>
      <c r="AX64" s="34">
        <f>VLOOKUP($A64,'[1]Init $$'!$B$3:$CG$118,50,FALSE)</f>
        <v>10200</v>
      </c>
      <c r="AY64" s="34">
        <f>VLOOKUP($A64,'[1]Init $$'!$B$3:$CG$118,51,FALSE)</f>
        <v>0</v>
      </c>
      <c r="AZ64" s="34">
        <f>VLOOKUP($A64,'[1]Init $$'!$B$3:$CG$118,52,FALSE)</f>
        <v>27200</v>
      </c>
      <c r="BA64" s="34">
        <f>VLOOKUP($A64,'[1]Init $$'!$B$3:$CG$118,53,FALSE)</f>
        <v>0</v>
      </c>
      <c r="BB64" s="34">
        <f>VLOOKUP($A64,'[1]Init $$'!$B$3:$CG$118,54,FALSE)</f>
        <v>27200</v>
      </c>
      <c r="BC64" s="34">
        <f>VLOOKUP($A64,'[1]Init $$'!$B$3:$CG$118,55,FALSE)</f>
        <v>215606.58</v>
      </c>
      <c r="BD64" s="34">
        <f>VLOOKUP($A64,'[1]Init $$'!$B$3:$CG$118,56,FALSE)</f>
        <v>3472.89</v>
      </c>
      <c r="BE64" s="34">
        <f>VLOOKUP($A64,'[1]Init $$'!$B$3:$CG$118,57,FALSE)</f>
        <v>0</v>
      </c>
      <c r="BF64" s="43">
        <f>'Est gen ed 23 $$'!BF64/'Est gen ed 23 pos'!BF$123</f>
        <v>0</v>
      </c>
      <c r="BG64" s="43">
        <f>'Est gen ed 23 $$'!BG64/'Est gen ed 23 pos'!BG$123</f>
        <v>0</v>
      </c>
      <c r="BH64" s="34">
        <f>VLOOKUP($A64,'[1]Init $$'!$B$3:$CG$118,60,FALSE)</f>
        <v>0</v>
      </c>
      <c r="BI64" s="34">
        <f>VLOOKUP($A64,'[1]Init $$'!$B$3:$CG$118,61,FALSE)</f>
        <v>0</v>
      </c>
      <c r="BJ64" s="34">
        <f>VLOOKUP($A64,'[1]Init $$'!$B$3:$CG$118,62,FALSE)</f>
        <v>0</v>
      </c>
      <c r="BK64" s="43">
        <f>'Est gen ed 23 $$'!BK64/'Est gen ed 23 pos'!BK$123</f>
        <v>0</v>
      </c>
      <c r="BL64" s="34">
        <f>VLOOKUP($A64,'[1]Init $$'!$B$3:$CG$118,64,FALSE)</f>
        <v>0</v>
      </c>
      <c r="BM64" s="43">
        <f>'Est gen ed 23 $$'!BM64/'Est gen ed 23 pos'!BM$123</f>
        <v>0</v>
      </c>
      <c r="BN64" s="34">
        <f>VLOOKUP($A64,'[1]Init $$'!$B$3:$CG$118,66,FALSE)</f>
        <v>0</v>
      </c>
      <c r="BO64" s="43">
        <f>'Est gen ed 23 $$'!BO64/'Est gen ed 23 pos'!BO$123</f>
        <v>0</v>
      </c>
      <c r="BP64" s="34">
        <f>VLOOKUP($A64,'[1]Init $$'!$B$3:$CG$118,68,FALSE)</f>
        <v>0</v>
      </c>
      <c r="BQ64" s="43">
        <f>'Est gen ed 23 $$'!BQ64/'Est gen ed 23 pos'!BQ$123</f>
        <v>0</v>
      </c>
      <c r="BR64" s="43">
        <f>'Est gen ed 23 $$'!BR64/'Est gen ed 23 pos'!BR$123</f>
        <v>0</v>
      </c>
      <c r="BS64" s="34">
        <f>VLOOKUP($A64,'[1]Init $$'!$B$3:$CG$118,71,FALSE)</f>
        <v>0</v>
      </c>
      <c r="BT64" s="34">
        <f>VLOOKUP($A64,'[1]Init $$'!$B$3:$CG$118,72,FALSE)</f>
        <v>0</v>
      </c>
      <c r="BU64" s="34">
        <f>VLOOKUP($A64,'[1]Init $$'!$B$3:$CG$118,73,FALSE)</f>
        <v>15325</v>
      </c>
      <c r="BV64" s="34">
        <f>VLOOKUP($A64,'[1]Init $$'!$B$3:$CG$118,74,FALSE)</f>
        <v>0</v>
      </c>
      <c r="BW64" s="34">
        <f>VLOOKUP($A64,'[1]Init $$'!$B$3:$CG$118,75,FALSE)</f>
        <v>0</v>
      </c>
      <c r="BX64" s="43">
        <f>'Est gen ed 23 $$'!BX64/'Est gen ed 23 pos'!BX$123</f>
        <v>0</v>
      </c>
      <c r="BY64" s="43">
        <f>'Est gen ed 23 $$'!BY64/'Est gen ed 23 pos'!BY$123</f>
        <v>0</v>
      </c>
      <c r="BZ64" s="43">
        <f>'Est gen ed 23 $$'!BZ64/'Est gen ed 23 pos'!BZ$123</f>
        <v>0</v>
      </c>
      <c r="CA64" s="34">
        <f>VLOOKUP($A64,'[1]Init $$'!$B$3:$CG$118,79,FALSE)</f>
        <v>646483.46</v>
      </c>
      <c r="CB64" s="34">
        <f>VLOOKUP($A64,'[1]Init $$'!$B$3:$CG$118,80,FALSE)</f>
        <v>86727.96</v>
      </c>
      <c r="CC64" s="34">
        <f>VLOOKUP($A64,'[1]Init $$'!$B$3:$CG$118,81,FALSE)</f>
        <v>232544.77</v>
      </c>
      <c r="CD64" s="34">
        <f>VLOOKUP($A64,'[1]Init $$'!$B$3:$CG$118,82,FALSE)</f>
        <v>27831.47</v>
      </c>
      <c r="CE64" s="34">
        <f>VLOOKUP($A64,'[1]Init $$'!$B$3:$CG$118,83,FALSE)</f>
        <v>0</v>
      </c>
      <c r="CF64" s="34">
        <f>VLOOKUP($A64,'[1]Init $$'!$B$3:$CG$118,84,FALSE)</f>
        <v>0</v>
      </c>
      <c r="CJ64" s="28">
        <f t="shared" si="2"/>
        <v>4443252.8799988581</v>
      </c>
      <c r="CK64" s="43">
        <f>'Est gen ed 23 $$'!CK64/'Est gen ed 23 pos'!CK$123</f>
        <v>0.99999604682144683</v>
      </c>
      <c r="CL64" s="43">
        <f>'Est gen ed 23 $$'!CL64/'Est gen ed 23 pos'!CL$123</f>
        <v>1.0525</v>
      </c>
      <c r="CM64" s="43">
        <f>'Est gen ed 23 $$'!CM64/'Est gen ed 23 pos'!CM$123</f>
        <v>1</v>
      </c>
      <c r="CN64" s="43">
        <f>'Est gen ed 23 $$'!CN64/'Est gen ed 23 pos'!CN$123</f>
        <v>0.95011876484560565</v>
      </c>
      <c r="CO64" s="43">
        <f>'Est gen ed 23 $$'!CO64/'Est gen ed 23 pos'!CO$123</f>
        <v>0</v>
      </c>
      <c r="CP64" s="43">
        <f>'Est gen ed 23 $$'!CP64/'Est gen ed 23 pos'!CP$123</f>
        <v>0</v>
      </c>
      <c r="CQ64" s="43">
        <f>'Est gen ed 23 $$'!CQ64/'Est gen ed 23 pos'!CQ$123</f>
        <v>1</v>
      </c>
      <c r="CR64" s="43">
        <f>'Est gen ed 23 $$'!CR64/'Est gen ed 23 pos'!CR$123</f>
        <v>1</v>
      </c>
      <c r="CS64" s="43">
        <f>'Est gen ed 23 $$'!CS64/'Est gen ed 23 pos'!CS$123</f>
        <v>1.5</v>
      </c>
      <c r="CT64" s="43">
        <f>'Est gen ed 23 $$'!CT64/'Est gen ed 23 pos'!CT$123</f>
        <v>3</v>
      </c>
      <c r="CU64" s="43">
        <f>'Est gen ed 23 $$'!CU64/'Est gen ed 23 pos'!CU$123</f>
        <v>20.999999999999996</v>
      </c>
      <c r="CZ64" s="43">
        <f>'Est gen ed 23 $$'!CW64/'Est gen ed 23 pos'!CZ$123</f>
        <v>0</v>
      </c>
      <c r="DB64" s="28">
        <f t="shared" si="3"/>
        <v>2695316.25</v>
      </c>
      <c r="DC64" s="28">
        <f t="shared" si="0"/>
        <v>260376.24</v>
      </c>
      <c r="DK64" s="34"/>
      <c r="DL64" s="34"/>
    </row>
    <row r="65" spans="1:116" x14ac:dyDescent="0.2">
      <c r="A65">
        <v>271</v>
      </c>
      <c r="B65" t="s">
        <v>64</v>
      </c>
      <c r="C65" t="s">
        <v>7</v>
      </c>
      <c r="D65">
        <v>6</v>
      </c>
      <c r="E65">
        <f>VLOOKUP($A65,'[1]Init $$'!$B$3:$CG$118,4,FALSE)</f>
        <v>451</v>
      </c>
      <c r="F65">
        <f>VLOOKUP($A65,'[1]Init $$'!$B$3:$CG$118,6,FALSE)</f>
        <v>353</v>
      </c>
      <c r="G65">
        <f>VLOOKUP($A65,'[2]$$xSchpostCouncilxLevel'!$A$4:$EW$120,153,FALSE)</f>
        <v>347</v>
      </c>
      <c r="H65" s="50">
        <f t="shared" si="1"/>
        <v>6</v>
      </c>
      <c r="I65" s="4">
        <f>VLOOKUP($A65,'[1]Init $$'!$B$3:$CG$118,8,FALSE)</f>
        <v>0.23946784922394679</v>
      </c>
      <c r="J65">
        <f>VLOOKUP($A65,'[1]Init $$'!$B$3:$CG$118,7,FALSE)</f>
        <v>108</v>
      </c>
      <c r="K65" s="43">
        <f>'Est gen ed 23 $$'!K65/'Est gen ed 23 pos'!K$123</f>
        <v>1</v>
      </c>
      <c r="L65" s="43">
        <f>'Est gen ed 23 $$'!L65/'Est gen ed 23 pos'!L$123</f>
        <v>0</v>
      </c>
      <c r="M65" s="43">
        <f>'Est gen ed 23 $$'!M65/'Est gen ed 23 pos'!M$123</f>
        <v>0</v>
      </c>
      <c r="N65" s="43">
        <f>'Est gen ed 23 $$'!N65/'Est gen ed 23 pos'!N$123</f>
        <v>1</v>
      </c>
      <c r="O65" s="34">
        <f>VLOOKUP($A65,'[1]Init $$'!$B$3:$CG$118,15,FALSE)</f>
        <v>5766.05</v>
      </c>
      <c r="P65" s="43">
        <f>'Est gen ed 23 $$'!P65/'Est gen ed 23 pos'!P$123</f>
        <v>1</v>
      </c>
      <c r="Q65" s="43">
        <f>'Est gen ed 23 $$'!Q65/'Est gen ed 23 pos'!Q$123</f>
        <v>1</v>
      </c>
      <c r="R65" s="43">
        <f>'Est gen ed 23 $$'!R65/'Est gen ed 23 pos'!R$123</f>
        <v>2.0000001953611113</v>
      </c>
      <c r="S65" s="43">
        <f>'Est gen ed 23 $$'!S65/'Est gen ed 23 pos'!S$123</f>
        <v>1</v>
      </c>
      <c r="T65" s="43">
        <f>'Est gen ed 23 $$'!T65/'Est gen ed 23 pos'!T$123</f>
        <v>2.9999999121515879</v>
      </c>
      <c r="U65" s="43">
        <f>'Est gen ed 23 $$'!U65/'Est gen ed 23 pos'!U$123</f>
        <v>0</v>
      </c>
      <c r="V65" s="43">
        <f>'Est gen ed 23 $$'!V65/'Est gen ed 23 pos'!V$123</f>
        <v>2.9999999121515879</v>
      </c>
      <c r="W65" s="43">
        <f>'Est gen ed 23 $$'!W65/'Est gen ed 23 pos'!W$123</f>
        <v>5.9999994893586166</v>
      </c>
      <c r="X65" s="34">
        <f>VLOOKUP($A65,'[1]Init $$'!$B$3:$CG$118,24,FALSE)</f>
        <v>175606.2</v>
      </c>
      <c r="Y65" s="34">
        <f>VLOOKUP($A65,'[1]Init $$'!$B$3:$CG$118,25,FALSE)</f>
        <v>0</v>
      </c>
      <c r="Z65" s="34">
        <f>VLOOKUP($A65,'[1]Init $$'!$B$3:$CG$118,26,FALSE)</f>
        <v>0</v>
      </c>
      <c r="AA65" s="34">
        <f>VLOOKUP($A65,'[1]Init $$'!$B$3:$CG$118,27,FALSE)</f>
        <v>0</v>
      </c>
      <c r="AB65" s="43">
        <f>'Est gen ed 23 $$'!AB65/'Est gen ed 23 pos'!AB$123</f>
        <v>0</v>
      </c>
      <c r="AC65" s="43">
        <f>'Est gen ed 23 $$'!AC65/'Est gen ed 23 pos'!AC$123</f>
        <v>0</v>
      </c>
      <c r="AD65" s="43">
        <f>'Est gen ed 23 $$'!AD65/'Est gen ed 23 pos'!AD$123</f>
        <v>0</v>
      </c>
      <c r="AE65" s="43">
        <f>'Est gen ed 23 $$'!AE65/'Est gen ed 23 pos'!AE$123</f>
        <v>0</v>
      </c>
      <c r="AF65" s="34">
        <f>VLOOKUP($A65,'[1]Init $$'!$B$3:$CG$118,32,FALSE)</f>
        <v>2108469</v>
      </c>
      <c r="AG65" s="34">
        <f>VLOOKUP($A65,'[1]Init $$'!$B$3:$CG$118,33,FALSE)</f>
        <v>146575</v>
      </c>
      <c r="AH65" s="43">
        <f>'Est gen ed 23 $$'!AH65/'Est gen ed 23 pos'!AH$123</f>
        <v>1</v>
      </c>
      <c r="AI65" s="43">
        <f>'Est gen ed 23 $$'!AI65/'Est gen ed 23 pos'!AI$123</f>
        <v>1.4999999560757939</v>
      </c>
      <c r="AJ65" s="43">
        <f>'Est gen ed 23 $$'!AJ65/'Est gen ed 23 pos'!AJ$123</f>
        <v>2.9999999121515879</v>
      </c>
      <c r="AK65" s="43">
        <f>'Est gen ed 23 $$'!AK65/'Est gen ed 23 pos'!AK$123</f>
        <v>2.9999999121515879</v>
      </c>
      <c r="AL65" s="43">
        <f>'Est gen ed 23 $$'!AL65/'Est gen ed 23 pos'!AL$123</f>
        <v>5.9999994893586166</v>
      </c>
      <c r="AM65" s="43">
        <f>'Est gen ed 23 $$'!AM65/'Est gen ed 23 pos'!AM$123</f>
        <v>0</v>
      </c>
      <c r="AN65" s="43">
        <f>'Est gen ed 23 $$'!AN65/'Est gen ed 23 pos'!AN$123</f>
        <v>0</v>
      </c>
      <c r="AO65" s="43">
        <f>'Est gen ed 23 $$'!AO65/'Est gen ed 23 pos'!AO$123</f>
        <v>0</v>
      </c>
      <c r="AP65" s="34">
        <f>VLOOKUP($A65,'[1]Init $$'!$B$3:$CG$118,42,FALSE)</f>
        <v>98554.5</v>
      </c>
      <c r="AQ65" s="34">
        <f>VLOOKUP($A65,'[1]Init $$'!$B$3:$CG$118,43,FALSE)</f>
        <v>0</v>
      </c>
      <c r="AR65" s="43">
        <f>'Est gen ed 23 $$'!AR65/'Est gen ed 23 pos'!AR$123</f>
        <v>0.49999995607579389</v>
      </c>
      <c r="AS65" s="43">
        <f>'Est gen ed 23 $$'!AS65/'Est gen ed 23 pos'!AS$123</f>
        <v>0</v>
      </c>
      <c r="AT65" s="43">
        <f>'Est gen ed 23 $$'!AT65/'Est gen ed 23 pos'!AT$123</f>
        <v>0</v>
      </c>
      <c r="AU65" s="34">
        <f>VLOOKUP($A65,'[1]Init $$'!$B$3:$CG$118,47,FALSE)</f>
        <v>19710.900000000001</v>
      </c>
      <c r="AV65" s="34">
        <f>VLOOKUP($A65,'[1]Init $$'!$B$3:$CG$118,48,FALSE)</f>
        <v>0</v>
      </c>
      <c r="AW65" s="34">
        <f>VLOOKUP($A65,'[1]Init $$'!$B$3:$CG$118,49,FALSE)</f>
        <v>0</v>
      </c>
      <c r="AX65" s="34">
        <f>VLOOKUP($A65,'[1]Init $$'!$B$3:$CG$118,50,FALSE)</f>
        <v>0</v>
      </c>
      <c r="AY65" s="34">
        <f>VLOOKUP($A65,'[1]Init $$'!$B$3:$CG$118,51,FALSE)</f>
        <v>0</v>
      </c>
      <c r="AZ65" s="34">
        <f>VLOOKUP($A65,'[1]Init $$'!$B$3:$CG$118,52,FALSE)</f>
        <v>0</v>
      </c>
      <c r="BA65" s="34">
        <f>VLOOKUP($A65,'[1]Init $$'!$B$3:$CG$118,53,FALSE)</f>
        <v>0</v>
      </c>
      <c r="BB65" s="34">
        <f>VLOOKUP($A65,'[1]Init $$'!$B$3:$CG$118,54,FALSE)</f>
        <v>0</v>
      </c>
      <c r="BC65" s="34">
        <f>VLOOKUP($A65,'[1]Init $$'!$B$3:$CG$118,55,FALSE)</f>
        <v>0</v>
      </c>
      <c r="BD65" s="34">
        <f>VLOOKUP($A65,'[1]Init $$'!$B$3:$CG$118,56,FALSE)</f>
        <v>0</v>
      </c>
      <c r="BE65" s="34">
        <f>VLOOKUP($A65,'[1]Init $$'!$B$3:$CG$118,57,FALSE)</f>
        <v>11275</v>
      </c>
      <c r="BF65" s="43">
        <f>'Est gen ed 23 $$'!BF65/'Est gen ed 23 pos'!BF$123</f>
        <v>0</v>
      </c>
      <c r="BG65" s="43">
        <f>'Est gen ed 23 $$'!BG65/'Est gen ed 23 pos'!BG$123</f>
        <v>0</v>
      </c>
      <c r="BH65" s="34">
        <f>VLOOKUP($A65,'[1]Init $$'!$B$3:$CG$118,60,FALSE)</f>
        <v>0</v>
      </c>
      <c r="BI65" s="34">
        <f>VLOOKUP($A65,'[1]Init $$'!$B$3:$CG$118,61,FALSE)</f>
        <v>0</v>
      </c>
      <c r="BJ65" s="34">
        <f>VLOOKUP($A65,'[1]Init $$'!$B$3:$CG$118,62,FALSE)</f>
        <v>0</v>
      </c>
      <c r="BK65" s="43">
        <f>'Est gen ed 23 $$'!BK65/'Est gen ed 23 pos'!BK$123</f>
        <v>0</v>
      </c>
      <c r="BL65" s="34">
        <f>VLOOKUP($A65,'[1]Init $$'!$B$3:$CG$118,64,FALSE)</f>
        <v>0</v>
      </c>
      <c r="BM65" s="43">
        <f>'Est gen ed 23 $$'!BM65/'Est gen ed 23 pos'!BM$123</f>
        <v>0</v>
      </c>
      <c r="BN65" s="34">
        <f>VLOOKUP($A65,'[1]Init $$'!$B$3:$CG$118,66,FALSE)</f>
        <v>0</v>
      </c>
      <c r="BO65" s="43">
        <f>'Est gen ed 23 $$'!BO65/'Est gen ed 23 pos'!BO$123</f>
        <v>0</v>
      </c>
      <c r="BP65" s="34">
        <f>VLOOKUP($A65,'[1]Init $$'!$B$3:$CG$118,68,FALSE)</f>
        <v>0</v>
      </c>
      <c r="BQ65" s="43">
        <f>'Est gen ed 23 $$'!BQ65/'Est gen ed 23 pos'!BQ$123</f>
        <v>0</v>
      </c>
      <c r="BR65" s="43">
        <f>'Est gen ed 23 $$'!BR65/'Est gen ed 23 pos'!BR$123</f>
        <v>0</v>
      </c>
      <c r="BS65" s="34">
        <f>VLOOKUP($A65,'[1]Init $$'!$B$3:$CG$118,71,FALSE)</f>
        <v>0</v>
      </c>
      <c r="BT65" s="34">
        <f>VLOOKUP($A65,'[1]Init $$'!$B$3:$CG$118,72,FALSE)</f>
        <v>0</v>
      </c>
      <c r="BU65" s="34">
        <f>VLOOKUP($A65,'[1]Init $$'!$B$3:$CG$118,73,FALSE)</f>
        <v>15325</v>
      </c>
      <c r="BV65" s="34">
        <f>VLOOKUP($A65,'[1]Init $$'!$B$3:$CG$118,74,FALSE)</f>
        <v>0</v>
      </c>
      <c r="BW65" s="34">
        <f>VLOOKUP($A65,'[1]Init $$'!$B$3:$CG$118,75,FALSE)</f>
        <v>0</v>
      </c>
      <c r="BX65" s="43">
        <f>'Est gen ed 23 $$'!BX65/'Est gen ed 23 pos'!BX$123</f>
        <v>0</v>
      </c>
      <c r="BY65" s="43">
        <f>'Est gen ed 23 $$'!BY65/'Est gen ed 23 pos'!BY$123</f>
        <v>0</v>
      </c>
      <c r="BZ65" s="43">
        <f>'Est gen ed 23 $$'!BZ65/'Est gen ed 23 pos'!BZ$123</f>
        <v>0</v>
      </c>
      <c r="CA65" s="34">
        <f>VLOOKUP($A65,'[1]Init $$'!$B$3:$CG$118,79,FALSE)</f>
        <v>289710.43</v>
      </c>
      <c r="CB65" s="34">
        <f>VLOOKUP($A65,'[1]Init $$'!$B$3:$CG$118,80,FALSE)</f>
        <v>0</v>
      </c>
      <c r="CC65" s="34">
        <f>VLOOKUP($A65,'[1]Init $$'!$B$3:$CG$118,81,FALSE)</f>
        <v>190346.56</v>
      </c>
      <c r="CD65" s="34">
        <f>VLOOKUP($A65,'[1]Init $$'!$B$3:$CG$118,82,FALSE)</f>
        <v>148318.73000000001</v>
      </c>
      <c r="CE65" s="34">
        <f>VLOOKUP($A65,'[1]Init $$'!$B$3:$CG$118,83,FALSE)</f>
        <v>371078.18</v>
      </c>
      <c r="CF65" s="34">
        <f>VLOOKUP($A65,'[1]Init $$'!$B$3:$CG$118,84,FALSE)</f>
        <v>0</v>
      </c>
      <c r="CJ65" s="28">
        <f t="shared" si="2"/>
        <v>3580769.5499987351</v>
      </c>
      <c r="CK65" s="43">
        <f>'Est gen ed 23 $$'!CK65/'Est gen ed 23 pos'!CK$123</f>
        <v>0.99999604682144683</v>
      </c>
      <c r="CL65" s="43">
        <f>'Est gen ed 23 $$'!CL65/'Est gen ed 23 pos'!CL$123</f>
        <v>1.1274999999999999</v>
      </c>
      <c r="CM65" s="43">
        <f>'Est gen ed 23 $$'!CM65/'Est gen ed 23 pos'!CM$123</f>
        <v>1</v>
      </c>
      <c r="CN65" s="43">
        <f>'Est gen ed 23 $$'!CN65/'Est gen ed 23 pos'!CN$123</f>
        <v>0.88691796008869184</v>
      </c>
      <c r="CO65" s="43">
        <f>'Est gen ed 23 $$'!CO65/'Est gen ed 23 pos'!CO$123</f>
        <v>0</v>
      </c>
      <c r="CP65" s="43">
        <f>'Est gen ed 23 $$'!CP65/'Est gen ed 23 pos'!CP$123</f>
        <v>0</v>
      </c>
      <c r="CQ65" s="43">
        <f>'Est gen ed 23 $$'!CQ65/'Est gen ed 23 pos'!CQ$123</f>
        <v>0.99999604682144683</v>
      </c>
      <c r="CR65" s="43">
        <f>'Est gen ed 23 $$'!CR65/'Est gen ed 23 pos'!CR$123</f>
        <v>0.99999604682144683</v>
      </c>
      <c r="CS65" s="43">
        <f>'Est gen ed 23 $$'!CS65/'Est gen ed 23 pos'!CS$123</f>
        <v>1.9999920936428937</v>
      </c>
      <c r="CT65" s="43">
        <f>'Est gen ed 23 $$'!CT65/'Est gen ed 23 pos'!CT$123</f>
        <v>3</v>
      </c>
      <c r="CU65" s="43">
        <f>'Est gen ed 23 $$'!CU65/'Est gen ed 23 pos'!CU$123</f>
        <v>18</v>
      </c>
      <c r="CZ65" s="43">
        <f>'Est gen ed 23 $$'!CW65/'Est gen ed 23 pos'!CZ$123</f>
        <v>0</v>
      </c>
      <c r="DB65" s="28">
        <f t="shared" si="3"/>
        <v>2108469</v>
      </c>
      <c r="DC65" s="28">
        <f t="shared" si="0"/>
        <v>709743.47</v>
      </c>
      <c r="DK65" s="34"/>
      <c r="DL65" s="34"/>
    </row>
    <row r="66" spans="1:116" x14ac:dyDescent="0.2">
      <c r="A66">
        <v>884</v>
      </c>
      <c r="B66" t="s">
        <v>63</v>
      </c>
      <c r="C66" t="s">
        <v>1</v>
      </c>
      <c r="D66">
        <v>5</v>
      </c>
      <c r="E66">
        <f>VLOOKUP($A66,'[1]Init $$'!$B$3:$CG$118,4,FALSE)</f>
        <v>189</v>
      </c>
      <c r="F66">
        <f>VLOOKUP($A66,'[1]Init $$'!$B$3:$CG$118,6,FALSE)</f>
        <v>189</v>
      </c>
      <c r="G66">
        <f>VLOOKUP($A66,'[2]$$xSchpostCouncilxLevel'!$A$4:$EW$120,153,FALSE)</f>
        <v>204</v>
      </c>
      <c r="H66" s="50">
        <f t="shared" si="1"/>
        <v>-15</v>
      </c>
      <c r="I66" s="4">
        <f>VLOOKUP($A66,'[1]Init $$'!$B$3:$CG$118,8,FALSE)</f>
        <v>1</v>
      </c>
      <c r="J66">
        <f>VLOOKUP($A66,'[1]Init $$'!$B$3:$CG$118,7,FALSE)</f>
        <v>189</v>
      </c>
      <c r="K66" s="43">
        <f>'Est gen ed 23 $$'!K66/'Est gen ed 23 pos'!K$123</f>
        <v>1</v>
      </c>
      <c r="L66" s="43">
        <f>'Est gen ed 23 $$'!L66/'Est gen ed 23 pos'!L$123</f>
        <v>0</v>
      </c>
      <c r="M66" s="43">
        <f>'Est gen ed 23 $$'!M66/'Est gen ed 23 pos'!M$123</f>
        <v>0.99999945493478681</v>
      </c>
      <c r="N66" s="43">
        <f>'Est gen ed 23 $$'!N66/'Est gen ed 23 pos'!N$123</f>
        <v>1</v>
      </c>
      <c r="O66" s="34">
        <f>VLOOKUP($A66,'[1]Init $$'!$B$3:$CG$118,15,FALSE)</f>
        <v>8065.87</v>
      </c>
      <c r="P66" s="43">
        <f>'Est gen ed 23 $$'!P66/'Est gen ed 23 pos'!P$123</f>
        <v>1</v>
      </c>
      <c r="Q66" s="43">
        <f>'Est gen ed 23 $$'!Q66/'Est gen ed 23 pos'!Q$123</f>
        <v>1</v>
      </c>
      <c r="R66" s="43">
        <f>'Est gen ed 23 $$'!R66/'Est gen ed 23 pos'!R$123</f>
        <v>2.0000001953611113</v>
      </c>
      <c r="S66" s="43">
        <f>'Est gen ed 23 $$'!S66/'Est gen ed 23 pos'!S$123</f>
        <v>1</v>
      </c>
      <c r="T66" s="43">
        <f>'Est gen ed 23 $$'!T66/'Est gen ed 23 pos'!T$123</f>
        <v>0</v>
      </c>
      <c r="U66" s="43">
        <f>'Est gen ed 23 $$'!U66/'Est gen ed 23 pos'!U$123</f>
        <v>0</v>
      </c>
      <c r="V66" s="43">
        <f>'Est gen ed 23 $$'!V66/'Est gen ed 23 pos'!V$123</f>
        <v>0</v>
      </c>
      <c r="W66" s="43">
        <f>'Est gen ed 23 $$'!W66/'Est gen ed 23 pos'!W$123</f>
        <v>0</v>
      </c>
      <c r="X66" s="34">
        <f>VLOOKUP($A66,'[1]Init $$'!$B$3:$CG$118,24,FALSE)</f>
        <v>0</v>
      </c>
      <c r="Y66" s="34">
        <f>VLOOKUP($A66,'[1]Init $$'!$B$3:$CG$118,25,FALSE)</f>
        <v>0</v>
      </c>
      <c r="Z66" s="34">
        <f>VLOOKUP($A66,'[1]Init $$'!$B$3:$CG$118,26,FALSE)</f>
        <v>0</v>
      </c>
      <c r="AA66" s="34">
        <f>VLOOKUP($A66,'[1]Init $$'!$B$3:$CG$118,27,FALSE)</f>
        <v>0</v>
      </c>
      <c r="AB66" s="43">
        <f>'Est gen ed 23 $$'!AB66/'Est gen ed 23 pos'!AB$123</f>
        <v>2.9999999121515879</v>
      </c>
      <c r="AC66" s="43">
        <f>'Est gen ed 23 $$'!AC66/'Est gen ed 23 pos'!AC$123</f>
        <v>0</v>
      </c>
      <c r="AD66" s="43">
        <f>'Est gen ed 23 $$'!AD66/'Est gen ed 23 pos'!AD$123</f>
        <v>0</v>
      </c>
      <c r="AE66" s="43">
        <f>'Est gen ed 23 $$'!AE66/'Est gen ed 23 pos'!AE$123</f>
        <v>0</v>
      </c>
      <c r="AF66" s="34">
        <f>VLOOKUP($A66,'[1]Init $$'!$B$3:$CG$118,32,FALSE)</f>
        <v>1128897</v>
      </c>
      <c r="AG66" s="34">
        <f>VLOOKUP($A66,'[1]Init $$'!$B$3:$CG$118,33,FALSE)</f>
        <v>112077</v>
      </c>
      <c r="AH66" s="43">
        <f>'Est gen ed 23 $$'!AH66/'Est gen ed 23 pos'!AH$123</f>
        <v>1</v>
      </c>
      <c r="AI66" s="43">
        <f>'Est gen ed 23 $$'!AI66/'Est gen ed 23 pos'!AI$123</f>
        <v>1.9999999121515879</v>
      </c>
      <c r="AJ66" s="43">
        <f>'Est gen ed 23 $$'!AJ66/'Est gen ed 23 pos'!AJ$123</f>
        <v>5.9999998243031758</v>
      </c>
      <c r="AK66" s="43">
        <f>'Est gen ed 23 $$'!AK66/'Est gen ed 23 pos'!AK$123</f>
        <v>1.9999999121515879</v>
      </c>
      <c r="AL66" s="43">
        <f>'Est gen ed 23 $$'!AL66/'Est gen ed 23 pos'!AL$123</f>
        <v>1.9999997446793083</v>
      </c>
      <c r="AM66" s="43">
        <f>'Est gen ed 23 $$'!AM66/'Est gen ed 23 pos'!AM$123</f>
        <v>0</v>
      </c>
      <c r="AN66" s="43">
        <f>'Est gen ed 23 $$'!AN66/'Est gen ed 23 pos'!AN$123</f>
        <v>1.0000010424267696</v>
      </c>
      <c r="AO66" s="43">
        <f>'Est gen ed 23 $$'!AO66/'Est gen ed 23 pos'!AO$123</f>
        <v>0</v>
      </c>
      <c r="AP66" s="34">
        <f>VLOOKUP($A66,'[1]Init $$'!$B$3:$CG$118,42,FALSE)</f>
        <v>96762.6</v>
      </c>
      <c r="AQ66" s="34">
        <f>VLOOKUP($A66,'[1]Init $$'!$B$3:$CG$118,43,FALSE)</f>
        <v>0</v>
      </c>
      <c r="AR66" s="43">
        <f>'Est gen ed 23 $$'!AR66/'Est gen ed 23 pos'!AR$123</f>
        <v>0</v>
      </c>
      <c r="AS66" s="43">
        <f>'Est gen ed 23 $$'!AS66/'Est gen ed 23 pos'!AS$123</f>
        <v>4.9999978037896929E-2</v>
      </c>
      <c r="AT66" s="43">
        <f>'Est gen ed 23 $$'!AT66/'Est gen ed 23 pos'!AT$123</f>
        <v>0</v>
      </c>
      <c r="AU66" s="34">
        <f>VLOOKUP($A66,'[1]Init $$'!$B$3:$CG$118,47,FALSE)</f>
        <v>1791.9</v>
      </c>
      <c r="AV66" s="34">
        <f>VLOOKUP($A66,'[1]Init $$'!$B$3:$CG$118,48,FALSE)</f>
        <v>0</v>
      </c>
      <c r="AW66" s="34">
        <f>VLOOKUP($A66,'[1]Init $$'!$B$3:$CG$118,49,FALSE)</f>
        <v>0</v>
      </c>
      <c r="AX66" s="34">
        <f>VLOOKUP($A66,'[1]Init $$'!$B$3:$CG$118,50,FALSE)</f>
        <v>0</v>
      </c>
      <c r="AY66" s="34">
        <f>VLOOKUP($A66,'[1]Init $$'!$B$3:$CG$118,51,FALSE)</f>
        <v>70000</v>
      </c>
      <c r="AZ66" s="34">
        <f>VLOOKUP($A66,'[1]Init $$'!$B$3:$CG$118,52,FALSE)</f>
        <v>0</v>
      </c>
      <c r="BA66" s="34">
        <f>VLOOKUP($A66,'[1]Init $$'!$B$3:$CG$118,53,FALSE)</f>
        <v>0</v>
      </c>
      <c r="BB66" s="34">
        <f>VLOOKUP($A66,'[1]Init $$'!$B$3:$CG$118,54,FALSE)</f>
        <v>0</v>
      </c>
      <c r="BC66" s="34">
        <f>VLOOKUP($A66,'[1]Init $$'!$B$3:$CG$118,55,FALSE)</f>
        <v>102283.24</v>
      </c>
      <c r="BD66" s="34">
        <f>VLOOKUP($A66,'[1]Init $$'!$B$3:$CG$118,56,FALSE)</f>
        <v>1647.53</v>
      </c>
      <c r="BE66" s="34">
        <f>VLOOKUP($A66,'[1]Init $$'!$B$3:$CG$118,57,FALSE)</f>
        <v>0</v>
      </c>
      <c r="BF66" s="43">
        <f>'Est gen ed 23 $$'!BF66/'Est gen ed 23 pos'!BF$123</f>
        <v>0</v>
      </c>
      <c r="BG66" s="43">
        <f>'Est gen ed 23 $$'!BG66/'Est gen ed 23 pos'!BG$123</f>
        <v>0</v>
      </c>
      <c r="BH66" s="34">
        <f>VLOOKUP($A66,'[1]Init $$'!$B$3:$CG$118,60,FALSE)</f>
        <v>0</v>
      </c>
      <c r="BI66" s="34">
        <f>VLOOKUP($A66,'[1]Init $$'!$B$3:$CG$118,61,FALSE)</f>
        <v>0</v>
      </c>
      <c r="BJ66" s="34">
        <f>VLOOKUP($A66,'[1]Init $$'!$B$3:$CG$118,62,FALSE)</f>
        <v>0</v>
      </c>
      <c r="BK66" s="43">
        <f>'Est gen ed 23 $$'!BK66/'Est gen ed 23 pos'!BK$123</f>
        <v>0</v>
      </c>
      <c r="BL66" s="34">
        <f>VLOOKUP($A66,'[1]Init $$'!$B$3:$CG$118,64,FALSE)</f>
        <v>0</v>
      </c>
      <c r="BM66" s="43">
        <f>'Est gen ed 23 $$'!BM66/'Est gen ed 23 pos'!BM$123</f>
        <v>0</v>
      </c>
      <c r="BN66" s="34">
        <f>VLOOKUP($A66,'[1]Init $$'!$B$3:$CG$118,66,FALSE)</f>
        <v>0</v>
      </c>
      <c r="BO66" s="43">
        <f>'Est gen ed 23 $$'!BO66/'Est gen ed 23 pos'!BO$123</f>
        <v>0</v>
      </c>
      <c r="BP66" s="34">
        <f>VLOOKUP($A66,'[1]Init $$'!$B$3:$CG$118,68,FALSE)</f>
        <v>0</v>
      </c>
      <c r="BQ66" s="43">
        <f>'Est gen ed 23 $$'!BQ66/'Est gen ed 23 pos'!BQ$123</f>
        <v>0</v>
      </c>
      <c r="BR66" s="43">
        <f>'Est gen ed 23 $$'!BR66/'Est gen ed 23 pos'!BR$123</f>
        <v>0</v>
      </c>
      <c r="BS66" s="34">
        <f>VLOOKUP($A66,'[1]Init $$'!$B$3:$CG$118,71,FALSE)</f>
        <v>0</v>
      </c>
      <c r="BT66" s="34">
        <f>VLOOKUP($A66,'[1]Init $$'!$B$3:$CG$118,72,FALSE)</f>
        <v>0</v>
      </c>
      <c r="BU66" s="34">
        <f>VLOOKUP($A66,'[1]Init $$'!$B$3:$CG$118,73,FALSE)</f>
        <v>0</v>
      </c>
      <c r="BV66" s="34">
        <f>VLOOKUP($A66,'[1]Init $$'!$B$3:$CG$118,74,FALSE)</f>
        <v>0</v>
      </c>
      <c r="BW66" s="34">
        <f>VLOOKUP($A66,'[1]Init $$'!$B$3:$CG$118,75,FALSE)</f>
        <v>0</v>
      </c>
      <c r="BX66" s="43">
        <f>'Est gen ed 23 $$'!BX66/'Est gen ed 23 pos'!BX$123</f>
        <v>0</v>
      </c>
      <c r="BY66" s="43">
        <f>'Est gen ed 23 $$'!BY66/'Est gen ed 23 pos'!BY$123</f>
        <v>0</v>
      </c>
      <c r="BZ66" s="43">
        <f>'Est gen ed 23 $$'!BZ66/'Est gen ed 23 pos'!BZ$123</f>
        <v>0</v>
      </c>
      <c r="CA66" s="34">
        <f>VLOOKUP($A66,'[1]Init $$'!$B$3:$CG$118,79,FALSE)</f>
        <v>633741.56999999995</v>
      </c>
      <c r="CB66" s="34">
        <f>VLOOKUP($A66,'[1]Init $$'!$B$3:$CG$118,80,FALSE)</f>
        <v>203201.46</v>
      </c>
      <c r="CC66" s="34">
        <f>VLOOKUP($A66,'[1]Init $$'!$B$3:$CG$118,81,FALSE)</f>
        <v>0</v>
      </c>
      <c r="CD66" s="34">
        <f>VLOOKUP($A66,'[1]Init $$'!$B$3:$CG$118,82,FALSE)</f>
        <v>0</v>
      </c>
      <c r="CE66" s="34">
        <f>VLOOKUP($A66,'[1]Init $$'!$B$3:$CG$118,83,FALSE)</f>
        <v>0</v>
      </c>
      <c r="CF66" s="34">
        <f>VLOOKUP($A66,'[1]Init $$'!$B$3:$CG$118,84,FALSE)</f>
        <v>0</v>
      </c>
      <c r="CJ66" s="28">
        <f t="shared" si="2"/>
        <v>2358493.219999976</v>
      </c>
      <c r="CK66" s="43">
        <f>'Est gen ed 23 $$'!CK66/'Est gen ed 23 pos'!CK$123</f>
        <v>0.99999604682144683</v>
      </c>
      <c r="CL66" s="43">
        <f>'Est gen ed 23 $$'!CL66/'Est gen ed 23 pos'!CL$123</f>
        <v>0.63</v>
      </c>
      <c r="CM66" s="43">
        <f>'Est gen ed 23 $$'!CM66/'Est gen ed 23 pos'!CM$123</f>
        <v>0.5</v>
      </c>
      <c r="CN66" s="43">
        <f>'Est gen ed 23 $$'!CN66/'Est gen ed 23 pos'!CN$123</f>
        <v>0</v>
      </c>
      <c r="CO66" s="43">
        <f>'Est gen ed 23 $$'!CO66/'Est gen ed 23 pos'!CO$123</f>
        <v>1</v>
      </c>
      <c r="CP66" s="43">
        <f>'Est gen ed 23 $$'!CP66/'Est gen ed 23 pos'!CP$123</f>
        <v>1</v>
      </c>
      <c r="CQ66" s="43">
        <f>'Est gen ed 23 $$'!CQ66/'Est gen ed 23 pos'!CQ$123</f>
        <v>0</v>
      </c>
      <c r="CR66" s="43">
        <f>'Est gen ed 23 $$'!CR66/'Est gen ed 23 pos'!CR$123</f>
        <v>0</v>
      </c>
      <c r="CS66" s="43">
        <f>'Est gen ed 23 $$'!CS66/'Est gen ed 23 pos'!CS$123</f>
        <v>0</v>
      </c>
      <c r="CT66" s="43">
        <f>'Est gen ed 23 $$'!CT66/'Est gen ed 23 pos'!CT$123</f>
        <v>0</v>
      </c>
      <c r="CU66" s="43">
        <f>'Est gen ed 23 $$'!CU66/'Est gen ed 23 pos'!CU$123</f>
        <v>10</v>
      </c>
      <c r="CZ66" s="43">
        <f>'Est gen ed 23 $$'!CW66/'Est gen ed 23 pos'!CZ$123</f>
        <v>0</v>
      </c>
      <c r="DB66" s="28">
        <f t="shared" si="3"/>
        <v>1128897</v>
      </c>
      <c r="DC66" s="28">
        <f t="shared" si="0"/>
        <v>0</v>
      </c>
      <c r="DK66" s="34"/>
      <c r="DL66" s="34"/>
    </row>
    <row r="67" spans="1:116" x14ac:dyDescent="0.2">
      <c r="A67">
        <v>420</v>
      </c>
      <c r="B67" t="s">
        <v>62</v>
      </c>
      <c r="C67" t="s">
        <v>19</v>
      </c>
      <c r="D67">
        <v>4</v>
      </c>
      <c r="E67">
        <f>VLOOKUP($A67,'[1]Init $$'!$B$3:$CG$118,4,FALSE)</f>
        <v>587</v>
      </c>
      <c r="F67">
        <f>VLOOKUP($A67,'[1]Init $$'!$B$3:$CG$118,6,FALSE)</f>
        <v>587</v>
      </c>
      <c r="G67">
        <f>VLOOKUP($A67,'[2]$$xSchpostCouncilxLevel'!$A$4:$EW$120,153,FALSE)</f>
        <v>641</v>
      </c>
      <c r="H67" s="50">
        <f t="shared" si="1"/>
        <v>-54</v>
      </c>
      <c r="I67" s="4">
        <f>VLOOKUP($A67,'[1]Init $$'!$B$3:$CG$118,8,FALSE)</f>
        <v>0.40715502555366268</v>
      </c>
      <c r="J67">
        <f>VLOOKUP($A67,'[1]Init $$'!$B$3:$CG$118,7,FALSE)</f>
        <v>239</v>
      </c>
      <c r="K67" s="43">
        <f>'Est gen ed 23 $$'!K67/'Est gen ed 23 pos'!K$123</f>
        <v>1</v>
      </c>
      <c r="L67" s="43">
        <f>'Est gen ed 23 $$'!L67/'Est gen ed 23 pos'!L$123</f>
        <v>1.4999999560757939</v>
      </c>
      <c r="M67" s="43">
        <f>'Est gen ed 23 $$'!M67/'Est gen ed 23 pos'!M$123</f>
        <v>0</v>
      </c>
      <c r="N67" s="43">
        <f>'Est gen ed 23 $$'!N67/'Est gen ed 23 pos'!N$123</f>
        <v>1</v>
      </c>
      <c r="O67" s="34">
        <f>VLOOKUP($A67,'[1]Init $$'!$B$3:$CG$118,15,FALSE)</f>
        <v>9294.2999999999993</v>
      </c>
      <c r="P67" s="43">
        <f>'Est gen ed 23 $$'!P67/'Est gen ed 23 pos'!P$123</f>
        <v>1</v>
      </c>
      <c r="Q67" s="43">
        <f>'Est gen ed 23 $$'!Q67/'Est gen ed 23 pos'!Q$123</f>
        <v>1</v>
      </c>
      <c r="R67" s="43">
        <f>'Est gen ed 23 $$'!R67/'Est gen ed 23 pos'!R$123</f>
        <v>4.0000003907222226</v>
      </c>
      <c r="S67" s="43">
        <f>'Est gen ed 23 $$'!S67/'Est gen ed 23 pos'!S$123</f>
        <v>1</v>
      </c>
      <c r="T67" s="43">
        <f>'Est gen ed 23 $$'!T67/'Est gen ed 23 pos'!T$123</f>
        <v>0</v>
      </c>
      <c r="U67" s="43">
        <f>'Est gen ed 23 $$'!U67/'Est gen ed 23 pos'!U$123</f>
        <v>0</v>
      </c>
      <c r="V67" s="43">
        <f>'Est gen ed 23 $$'!V67/'Est gen ed 23 pos'!V$123</f>
        <v>0</v>
      </c>
      <c r="W67" s="43">
        <f>'Est gen ed 23 $$'!W67/'Est gen ed 23 pos'!W$123</f>
        <v>0</v>
      </c>
      <c r="X67" s="34">
        <f>VLOOKUP($A67,'[1]Init $$'!$B$3:$CG$118,24,FALSE)</f>
        <v>0</v>
      </c>
      <c r="Y67" s="34">
        <f>VLOOKUP($A67,'[1]Init $$'!$B$3:$CG$118,25,FALSE)</f>
        <v>0</v>
      </c>
      <c r="Z67" s="34">
        <f>VLOOKUP($A67,'[1]Init $$'!$B$3:$CG$118,26,FALSE)</f>
        <v>0</v>
      </c>
      <c r="AA67" s="34">
        <f>VLOOKUP($A67,'[1]Init $$'!$B$3:$CG$118,27,FALSE)</f>
        <v>0</v>
      </c>
      <c r="AB67" s="43">
        <f>'Est gen ed 23 $$'!AB67/'Est gen ed 23 pos'!AB$123</f>
        <v>0</v>
      </c>
      <c r="AC67" s="43">
        <f>'Est gen ed 23 $$'!AC67/'Est gen ed 23 pos'!AC$123</f>
        <v>0</v>
      </c>
      <c r="AD67" s="43">
        <f>'Est gen ed 23 $$'!AD67/'Est gen ed 23 pos'!AD$123</f>
        <v>0</v>
      </c>
      <c r="AE67" s="43">
        <f>'Est gen ed 23 $$'!AE67/'Est gen ed 23 pos'!AE$123</f>
        <v>0</v>
      </c>
      <c r="AF67" s="34">
        <f>VLOOKUP($A67,'[1]Init $$'!$B$3:$CG$118,32,FALSE)</f>
        <v>3506151</v>
      </c>
      <c r="AG67" s="34">
        <f>VLOOKUP($A67,'[1]Init $$'!$B$3:$CG$118,33,FALSE)</f>
        <v>200754</v>
      </c>
      <c r="AH67" s="43">
        <f>'Est gen ed 23 $$'!AH67/'Est gen ed 23 pos'!AH$123</f>
        <v>1</v>
      </c>
      <c r="AI67" s="43">
        <f>'Est gen ed 23 $$'!AI67/'Est gen ed 23 pos'!AI$123</f>
        <v>2.9999999121515879</v>
      </c>
      <c r="AJ67" s="43">
        <f>'Est gen ed 23 $$'!AJ67/'Est gen ed 23 pos'!AJ$123</f>
        <v>9.9999996486063516</v>
      </c>
      <c r="AK67" s="43">
        <f>'Est gen ed 23 $$'!AK67/'Est gen ed 23 pos'!AK$123</f>
        <v>2.9999999121515879</v>
      </c>
      <c r="AL67" s="43">
        <f>'Est gen ed 23 $$'!AL67/'Est gen ed 23 pos'!AL$123</f>
        <v>2.9999997446793083</v>
      </c>
      <c r="AM67" s="43">
        <f>'Est gen ed 23 $$'!AM67/'Est gen ed 23 pos'!AM$123</f>
        <v>0</v>
      </c>
      <c r="AN67" s="43">
        <f>'Est gen ed 23 $$'!AN67/'Est gen ed 23 pos'!AN$123</f>
        <v>1.0000010424267696</v>
      </c>
      <c r="AO67" s="43">
        <f>'Est gen ed 23 $$'!AO67/'Est gen ed 23 pos'!AO$123</f>
        <v>0</v>
      </c>
      <c r="AP67" s="34">
        <f>VLOOKUP($A67,'[1]Init $$'!$B$3:$CG$118,42,FALSE)</f>
        <v>186357.6</v>
      </c>
      <c r="AQ67" s="34">
        <f>VLOOKUP($A67,'[1]Init $$'!$B$3:$CG$118,43,FALSE)</f>
        <v>0</v>
      </c>
      <c r="AR67" s="43">
        <f>'Est gen ed 23 $$'!AR67/'Est gen ed 23 pos'!AR$123</f>
        <v>14.499999516833732</v>
      </c>
      <c r="AS67" s="43">
        <f>'Est gen ed 23 $$'!AS67/'Est gen ed 23 pos'!AS$123</f>
        <v>0</v>
      </c>
      <c r="AT67" s="43">
        <f>'Est gen ed 23 $$'!AT67/'Est gen ed 23 pos'!AT$123</f>
        <v>1</v>
      </c>
      <c r="AU67" s="34">
        <f>VLOOKUP($A67,'[1]Init $$'!$B$3:$CG$118,47,FALSE)</f>
        <v>555489</v>
      </c>
      <c r="AV67" s="34">
        <f>VLOOKUP($A67,'[1]Init $$'!$B$3:$CG$118,48,FALSE)</f>
        <v>0</v>
      </c>
      <c r="AW67" s="34">
        <f>VLOOKUP($A67,'[1]Init $$'!$B$3:$CG$118,49,FALSE)</f>
        <v>0</v>
      </c>
      <c r="AX67" s="34">
        <f>VLOOKUP($A67,'[1]Init $$'!$B$3:$CG$118,50,FALSE)</f>
        <v>0</v>
      </c>
      <c r="AY67" s="34">
        <f>VLOOKUP($A67,'[1]Init $$'!$B$3:$CG$118,51,FALSE)</f>
        <v>0</v>
      </c>
      <c r="AZ67" s="34">
        <f>VLOOKUP($A67,'[1]Init $$'!$B$3:$CG$118,52,FALSE)</f>
        <v>0</v>
      </c>
      <c r="BA67" s="34">
        <f>VLOOKUP($A67,'[1]Init $$'!$B$3:$CG$118,53,FALSE)</f>
        <v>0</v>
      </c>
      <c r="BB67" s="34">
        <f>VLOOKUP($A67,'[1]Init $$'!$B$3:$CG$118,54,FALSE)</f>
        <v>0</v>
      </c>
      <c r="BC67" s="34">
        <f>VLOOKUP($A67,'[1]Init $$'!$B$3:$CG$118,55,FALSE)</f>
        <v>191361.66</v>
      </c>
      <c r="BD67" s="34">
        <f>VLOOKUP($A67,'[1]Init $$'!$B$3:$CG$118,56,FALSE)</f>
        <v>3082.36</v>
      </c>
      <c r="BE67" s="34">
        <f>VLOOKUP($A67,'[1]Init $$'!$B$3:$CG$118,57,FALSE)</f>
        <v>0</v>
      </c>
      <c r="BF67" s="43">
        <f>'Est gen ed 23 $$'!BF67/'Est gen ed 23 pos'!BF$123</f>
        <v>0</v>
      </c>
      <c r="BG67" s="43">
        <f>'Est gen ed 23 $$'!BG67/'Est gen ed 23 pos'!BG$123</f>
        <v>0</v>
      </c>
      <c r="BH67" s="34">
        <f>VLOOKUP($A67,'[1]Init $$'!$B$3:$CG$118,60,FALSE)</f>
        <v>0</v>
      </c>
      <c r="BI67" s="34">
        <f>VLOOKUP($A67,'[1]Init $$'!$B$3:$CG$118,61,FALSE)</f>
        <v>0</v>
      </c>
      <c r="BJ67" s="34">
        <f>VLOOKUP($A67,'[1]Init $$'!$B$3:$CG$118,62,FALSE)</f>
        <v>0</v>
      </c>
      <c r="BK67" s="43">
        <f>'Est gen ed 23 $$'!BK67/'Est gen ed 23 pos'!BK$123</f>
        <v>0</v>
      </c>
      <c r="BL67" s="34">
        <f>VLOOKUP($A67,'[1]Init $$'!$B$3:$CG$118,64,FALSE)</f>
        <v>0</v>
      </c>
      <c r="BM67" s="43">
        <f>'Est gen ed 23 $$'!BM67/'Est gen ed 23 pos'!BM$123</f>
        <v>1</v>
      </c>
      <c r="BN67" s="34">
        <f>VLOOKUP($A67,'[1]Init $$'!$B$3:$CG$118,66,FALSE)</f>
        <v>3000</v>
      </c>
      <c r="BO67" s="43">
        <f>'Est gen ed 23 $$'!BO67/'Est gen ed 23 pos'!BO$123</f>
        <v>0</v>
      </c>
      <c r="BP67" s="34">
        <f>VLOOKUP($A67,'[1]Init $$'!$B$3:$CG$118,68,FALSE)</f>
        <v>53100</v>
      </c>
      <c r="BQ67" s="43">
        <f>'Est gen ed 23 $$'!BQ67/'Est gen ed 23 pos'!BQ$123</f>
        <v>0</v>
      </c>
      <c r="BR67" s="43">
        <f>'Est gen ed 23 $$'!BR67/'Est gen ed 23 pos'!BR$123</f>
        <v>0</v>
      </c>
      <c r="BS67" s="34">
        <f>VLOOKUP($A67,'[1]Init $$'!$B$3:$CG$118,71,FALSE)</f>
        <v>0</v>
      </c>
      <c r="BT67" s="34">
        <f>VLOOKUP($A67,'[1]Init $$'!$B$3:$CG$118,72,FALSE)</f>
        <v>0</v>
      </c>
      <c r="BU67" s="34">
        <f>VLOOKUP($A67,'[1]Init $$'!$B$3:$CG$118,73,FALSE)</f>
        <v>0</v>
      </c>
      <c r="BV67" s="34">
        <f>VLOOKUP($A67,'[1]Init $$'!$B$3:$CG$118,74,FALSE)</f>
        <v>0</v>
      </c>
      <c r="BW67" s="34">
        <f>VLOOKUP($A67,'[1]Init $$'!$B$3:$CG$118,75,FALSE)</f>
        <v>55921</v>
      </c>
      <c r="BX67" s="43">
        <f>'Est gen ed 23 $$'!BX67/'Est gen ed 23 pos'!BX$123</f>
        <v>0</v>
      </c>
      <c r="BY67" s="43">
        <f>'Est gen ed 23 $$'!BY67/'Est gen ed 23 pos'!BY$123</f>
        <v>0</v>
      </c>
      <c r="BZ67" s="43">
        <f>'Est gen ed 23 $$'!BZ67/'Est gen ed 23 pos'!BZ$123</f>
        <v>0</v>
      </c>
      <c r="CA67" s="34">
        <f>VLOOKUP($A67,'[1]Init $$'!$B$3:$CG$118,79,FALSE)</f>
        <v>641118.46</v>
      </c>
      <c r="CB67" s="34">
        <f>VLOOKUP($A67,'[1]Init $$'!$B$3:$CG$118,80,FALSE)</f>
        <v>5017.32</v>
      </c>
      <c r="CC67" s="34">
        <f>VLOOKUP($A67,'[1]Init $$'!$B$3:$CG$118,81,FALSE)</f>
        <v>0</v>
      </c>
      <c r="CD67" s="34">
        <f>VLOOKUP($A67,'[1]Init $$'!$B$3:$CG$118,82,FALSE)</f>
        <v>25422.55</v>
      </c>
      <c r="CE67" s="34">
        <f>VLOOKUP($A67,'[1]Init $$'!$B$3:$CG$118,83,FALSE)</f>
        <v>0</v>
      </c>
      <c r="CF67" s="34">
        <f>VLOOKUP($A67,'[1]Init $$'!$B$3:$CG$118,84,FALSE)</f>
        <v>0</v>
      </c>
      <c r="CJ67" s="28">
        <f t="shared" si="2"/>
        <v>5436117.2500001239</v>
      </c>
      <c r="CK67" s="43">
        <f>'Est gen ed 23 $$'!CK67/'Est gen ed 23 pos'!CK$123</f>
        <v>0.99999604682144683</v>
      </c>
      <c r="CL67" s="43">
        <f>'Est gen ed 23 $$'!CL67/'Est gen ed 23 pos'!CL$123</f>
        <v>1.956666666666667</v>
      </c>
      <c r="CM67" s="43">
        <f>'Est gen ed 23 $$'!CM67/'Est gen ed 23 pos'!CM$123</f>
        <v>1</v>
      </c>
      <c r="CN67" s="43">
        <f>'Est gen ed 23 $$'!CN67/'Est gen ed 23 pos'!CN$123</f>
        <v>0.68143100511073251</v>
      </c>
      <c r="CO67" s="43">
        <f>'Est gen ed 23 $$'!CO67/'Est gen ed 23 pos'!CO$123</f>
        <v>0</v>
      </c>
      <c r="CP67" s="43">
        <f>'Est gen ed 23 $$'!CP67/'Est gen ed 23 pos'!CP$123</f>
        <v>0</v>
      </c>
      <c r="CQ67" s="43">
        <f>'Est gen ed 23 $$'!CQ67/'Est gen ed 23 pos'!CQ$123</f>
        <v>0</v>
      </c>
      <c r="CR67" s="43">
        <f>'Est gen ed 23 $$'!CR67/'Est gen ed 23 pos'!CR$123</f>
        <v>0</v>
      </c>
      <c r="CS67" s="43">
        <f>'Est gen ed 23 $$'!CS67/'Est gen ed 23 pos'!CS$123</f>
        <v>0</v>
      </c>
      <c r="CT67" s="43">
        <f>'Est gen ed 23 $$'!CT67/'Est gen ed 23 pos'!CT$123</f>
        <v>0</v>
      </c>
      <c r="CU67" s="43">
        <f>'Est gen ed 23 $$'!CU67/'Est gen ed 23 pos'!CU$123</f>
        <v>31</v>
      </c>
      <c r="CZ67" s="43">
        <f>'Est gen ed 23 $$'!CW67/'Est gen ed 23 pos'!CZ$123</f>
        <v>0</v>
      </c>
      <c r="DB67" s="28">
        <f t="shared" si="3"/>
        <v>3506151</v>
      </c>
      <c r="DC67" s="28">
        <f t="shared" si="0"/>
        <v>25422.55</v>
      </c>
      <c r="DK67" s="34"/>
      <c r="DL67" s="34"/>
    </row>
    <row r="68" spans="1:116" x14ac:dyDescent="0.2">
      <c r="A68">
        <v>308</v>
      </c>
      <c r="B68" t="s">
        <v>61</v>
      </c>
      <c r="C68" t="s">
        <v>7</v>
      </c>
      <c r="D68">
        <v>8</v>
      </c>
      <c r="E68">
        <f>VLOOKUP($A68,'[1]Init $$'!$B$3:$CG$118,4,FALSE)</f>
        <v>199</v>
      </c>
      <c r="F68">
        <f>VLOOKUP($A68,'[1]Init $$'!$B$3:$CG$118,6,FALSE)</f>
        <v>150</v>
      </c>
      <c r="G68">
        <f>VLOOKUP($A68,'[2]$$xSchpostCouncilxLevel'!$A$4:$EW$120,153,FALSE)</f>
        <v>177</v>
      </c>
      <c r="H68" s="50">
        <f t="shared" si="1"/>
        <v>-27</v>
      </c>
      <c r="I68" s="4">
        <f>VLOOKUP($A68,'[1]Init $$'!$B$3:$CG$118,8,FALSE)</f>
        <v>0.81407035175879394</v>
      </c>
      <c r="J68">
        <f>VLOOKUP($A68,'[1]Init $$'!$B$3:$CG$118,7,FALSE)</f>
        <v>162</v>
      </c>
      <c r="K68" s="43">
        <f>'Est gen ed 23 $$'!K68/'Est gen ed 23 pos'!K$123</f>
        <v>1</v>
      </c>
      <c r="L68" s="43">
        <f>'Est gen ed 23 $$'!L68/'Est gen ed 23 pos'!L$123</f>
        <v>0</v>
      </c>
      <c r="M68" s="43">
        <f>'Est gen ed 23 $$'!M68/'Est gen ed 23 pos'!M$123</f>
        <v>0</v>
      </c>
      <c r="N68" s="43">
        <f>'Est gen ed 23 $$'!N68/'Est gen ed 23 pos'!N$123</f>
        <v>1</v>
      </c>
      <c r="O68" s="34">
        <f>VLOOKUP($A68,'[1]Init $$'!$B$3:$CG$118,15,FALSE)</f>
        <v>10416.5</v>
      </c>
      <c r="P68" s="43">
        <f>'Est gen ed 23 $$'!P68/'Est gen ed 23 pos'!P$123</f>
        <v>1</v>
      </c>
      <c r="Q68" s="43">
        <f>'Est gen ed 23 $$'!Q68/'Est gen ed 23 pos'!Q$123</f>
        <v>1</v>
      </c>
      <c r="R68" s="43">
        <f>'Est gen ed 23 $$'!R68/'Est gen ed 23 pos'!R$123</f>
        <v>3.0000001953611113</v>
      </c>
      <c r="S68" s="43">
        <f>'Est gen ed 23 $$'!S68/'Est gen ed 23 pos'!S$123</f>
        <v>1</v>
      </c>
      <c r="T68" s="43">
        <f>'Est gen ed 23 $$'!T68/'Est gen ed 23 pos'!T$123</f>
        <v>1.9999999121515879</v>
      </c>
      <c r="U68" s="43">
        <f>'Est gen ed 23 $$'!U68/'Est gen ed 23 pos'!U$123</f>
        <v>0</v>
      </c>
      <c r="V68" s="43">
        <f>'Est gen ed 23 $$'!V68/'Est gen ed 23 pos'!V$123</f>
        <v>1.9999999121515879</v>
      </c>
      <c r="W68" s="43">
        <f>'Est gen ed 23 $$'!W68/'Est gen ed 23 pos'!W$123</f>
        <v>3.9999997446793079</v>
      </c>
      <c r="X68" s="34">
        <f>VLOOKUP($A68,'[1]Init $$'!$B$3:$CG$118,24,FALSE)</f>
        <v>87803.1</v>
      </c>
      <c r="Y68" s="34">
        <f>VLOOKUP($A68,'[1]Init $$'!$B$3:$CG$118,25,FALSE)</f>
        <v>0</v>
      </c>
      <c r="Z68" s="34">
        <f>VLOOKUP($A68,'[1]Init $$'!$B$3:$CG$118,26,FALSE)</f>
        <v>0</v>
      </c>
      <c r="AA68" s="34">
        <f>VLOOKUP($A68,'[1]Init $$'!$B$3:$CG$118,27,FALSE)</f>
        <v>0</v>
      </c>
      <c r="AB68" s="43">
        <f>'Est gen ed 23 $$'!AB68/'Est gen ed 23 pos'!AB$123</f>
        <v>0</v>
      </c>
      <c r="AC68" s="43">
        <f>'Est gen ed 23 $$'!AC68/'Est gen ed 23 pos'!AC$123</f>
        <v>0</v>
      </c>
      <c r="AD68" s="43">
        <f>'Est gen ed 23 $$'!AD68/'Est gen ed 23 pos'!AD$123</f>
        <v>0</v>
      </c>
      <c r="AE68" s="43">
        <f>'Est gen ed 23 $$'!AE68/'Est gen ed 23 pos'!AE$123</f>
        <v>0</v>
      </c>
      <c r="AF68" s="34">
        <f>VLOOKUP($A68,'[1]Init $$'!$B$3:$CG$118,32,FALSE)</f>
        <v>895950</v>
      </c>
      <c r="AG68" s="34">
        <f>VLOOKUP($A68,'[1]Init $$'!$B$3:$CG$118,33,FALSE)</f>
        <v>64675</v>
      </c>
      <c r="AH68" s="43">
        <f>'Est gen ed 23 $$'!AH68/'Est gen ed 23 pos'!AH$123</f>
        <v>1</v>
      </c>
      <c r="AI68" s="43">
        <f>'Est gen ed 23 $$'!AI68/'Est gen ed 23 pos'!AI$123</f>
        <v>2.9999999121515879</v>
      </c>
      <c r="AJ68" s="43">
        <f>'Est gen ed 23 $$'!AJ68/'Est gen ed 23 pos'!AJ$123</f>
        <v>2.9999999121515879</v>
      </c>
      <c r="AK68" s="43">
        <f>'Est gen ed 23 $$'!AK68/'Est gen ed 23 pos'!AK$123</f>
        <v>1</v>
      </c>
      <c r="AL68" s="43">
        <f>'Est gen ed 23 $$'!AL68/'Est gen ed 23 pos'!AL$123</f>
        <v>1</v>
      </c>
      <c r="AM68" s="43">
        <f>'Est gen ed 23 $$'!AM68/'Est gen ed 23 pos'!AM$123</f>
        <v>0</v>
      </c>
      <c r="AN68" s="43">
        <f>'Est gen ed 23 $$'!AN68/'Est gen ed 23 pos'!AN$123</f>
        <v>1.0000010424267696</v>
      </c>
      <c r="AO68" s="43">
        <f>'Est gen ed 23 $$'!AO68/'Est gen ed 23 pos'!AO$123</f>
        <v>0</v>
      </c>
      <c r="AP68" s="34">
        <f>VLOOKUP($A68,'[1]Init $$'!$B$3:$CG$118,42,FALSE)</f>
        <v>48381.3</v>
      </c>
      <c r="AQ68" s="34">
        <f>VLOOKUP($A68,'[1]Init $$'!$B$3:$CG$118,43,FALSE)</f>
        <v>0</v>
      </c>
      <c r="AR68" s="43">
        <f>'Est gen ed 23 $$'!AR68/'Est gen ed 23 pos'!AR$123</f>
        <v>0</v>
      </c>
      <c r="AS68" s="43">
        <f>'Est gen ed 23 $$'!AS68/'Est gen ed 23 pos'!AS$123</f>
        <v>8.9999995607579389E-2</v>
      </c>
      <c r="AT68" s="43">
        <f>'Est gen ed 23 $$'!AT68/'Est gen ed 23 pos'!AT$123</f>
        <v>0</v>
      </c>
      <c r="AU68" s="34">
        <f>VLOOKUP($A68,'[1]Init $$'!$B$3:$CG$118,47,FALSE)</f>
        <v>3583.8</v>
      </c>
      <c r="AV68" s="34">
        <f>VLOOKUP($A68,'[1]Init $$'!$B$3:$CG$118,48,FALSE)</f>
        <v>20400</v>
      </c>
      <c r="AW68" s="34">
        <f>VLOOKUP($A68,'[1]Init $$'!$B$3:$CG$118,49,FALSE)</f>
        <v>13600</v>
      </c>
      <c r="AX68" s="34">
        <f>VLOOKUP($A68,'[1]Init $$'!$B$3:$CG$118,50,FALSE)</f>
        <v>10200</v>
      </c>
      <c r="AY68" s="34">
        <f>VLOOKUP($A68,'[1]Init $$'!$B$3:$CG$118,51,FALSE)</f>
        <v>0</v>
      </c>
      <c r="AZ68" s="34">
        <f>VLOOKUP($A68,'[1]Init $$'!$B$3:$CG$118,52,FALSE)</f>
        <v>20400</v>
      </c>
      <c r="BA68" s="34">
        <f>VLOOKUP($A68,'[1]Init $$'!$B$3:$CG$118,53,FALSE)</f>
        <v>0</v>
      </c>
      <c r="BB68" s="34">
        <f>VLOOKUP($A68,'[1]Init $$'!$B$3:$CG$118,54,FALSE)</f>
        <v>13600</v>
      </c>
      <c r="BC68" s="34">
        <f>VLOOKUP($A68,'[1]Init $$'!$B$3:$CG$118,55,FALSE)</f>
        <v>107695.05</v>
      </c>
      <c r="BD68" s="34">
        <f>VLOOKUP($A68,'[1]Init $$'!$B$3:$CG$118,56,FALSE)</f>
        <v>1734.7</v>
      </c>
      <c r="BE68" s="34">
        <f>VLOOKUP($A68,'[1]Init $$'!$B$3:$CG$118,57,FALSE)</f>
        <v>0</v>
      </c>
      <c r="BF68" s="43">
        <f>'Est gen ed 23 $$'!BF68/'Est gen ed 23 pos'!BF$123</f>
        <v>0</v>
      </c>
      <c r="BG68" s="43">
        <f>'Est gen ed 23 $$'!BG68/'Est gen ed 23 pos'!BG$123</f>
        <v>0</v>
      </c>
      <c r="BH68" s="34">
        <f>VLOOKUP($A68,'[1]Init $$'!$B$3:$CG$118,60,FALSE)</f>
        <v>0</v>
      </c>
      <c r="BI68" s="34">
        <f>VLOOKUP($A68,'[1]Init $$'!$B$3:$CG$118,61,FALSE)</f>
        <v>0</v>
      </c>
      <c r="BJ68" s="34">
        <f>VLOOKUP($A68,'[1]Init $$'!$B$3:$CG$118,62,FALSE)</f>
        <v>0</v>
      </c>
      <c r="BK68" s="43">
        <f>'Est gen ed 23 $$'!BK68/'Est gen ed 23 pos'!BK$123</f>
        <v>0</v>
      </c>
      <c r="BL68" s="34">
        <f>VLOOKUP($A68,'[1]Init $$'!$B$3:$CG$118,64,FALSE)</f>
        <v>0</v>
      </c>
      <c r="BM68" s="43">
        <f>'Est gen ed 23 $$'!BM68/'Est gen ed 23 pos'!BM$123</f>
        <v>0</v>
      </c>
      <c r="BN68" s="34">
        <f>VLOOKUP($A68,'[1]Init $$'!$B$3:$CG$118,66,FALSE)</f>
        <v>0</v>
      </c>
      <c r="BO68" s="43">
        <f>'Est gen ed 23 $$'!BO68/'Est gen ed 23 pos'!BO$123</f>
        <v>0</v>
      </c>
      <c r="BP68" s="34">
        <f>VLOOKUP($A68,'[1]Init $$'!$B$3:$CG$118,68,FALSE)</f>
        <v>0</v>
      </c>
      <c r="BQ68" s="43">
        <f>'Est gen ed 23 $$'!BQ68/'Est gen ed 23 pos'!BQ$123</f>
        <v>0</v>
      </c>
      <c r="BR68" s="43">
        <f>'Est gen ed 23 $$'!BR68/'Est gen ed 23 pos'!BR$123</f>
        <v>0</v>
      </c>
      <c r="BS68" s="34">
        <f>VLOOKUP($A68,'[1]Init $$'!$B$3:$CG$118,71,FALSE)</f>
        <v>0</v>
      </c>
      <c r="BT68" s="34">
        <f>VLOOKUP($A68,'[1]Init $$'!$B$3:$CG$118,72,FALSE)</f>
        <v>0</v>
      </c>
      <c r="BU68" s="34">
        <f>VLOOKUP($A68,'[1]Init $$'!$B$3:$CG$118,73,FALSE)</f>
        <v>15325</v>
      </c>
      <c r="BV68" s="34">
        <f>VLOOKUP($A68,'[1]Init $$'!$B$3:$CG$118,74,FALSE)</f>
        <v>0</v>
      </c>
      <c r="BW68" s="34">
        <f>VLOOKUP($A68,'[1]Init $$'!$B$3:$CG$118,75,FALSE)</f>
        <v>0</v>
      </c>
      <c r="BX68" s="43">
        <f>'Est gen ed 23 $$'!BX68/'Est gen ed 23 pos'!BX$123</f>
        <v>0</v>
      </c>
      <c r="BY68" s="43">
        <f>'Est gen ed 23 $$'!BY68/'Est gen ed 23 pos'!BY$123</f>
        <v>0</v>
      </c>
      <c r="BZ68" s="43">
        <f>'Est gen ed 23 $$'!BZ68/'Est gen ed 23 pos'!BZ$123</f>
        <v>0</v>
      </c>
      <c r="CA68" s="34">
        <f>VLOOKUP($A68,'[1]Init $$'!$B$3:$CG$118,79,FALSE)</f>
        <v>434565.65</v>
      </c>
      <c r="CB68" s="34">
        <f>VLOOKUP($A68,'[1]Init $$'!$B$3:$CG$118,80,FALSE)</f>
        <v>98435.04</v>
      </c>
      <c r="CC68" s="34">
        <f>VLOOKUP($A68,'[1]Init $$'!$B$3:$CG$118,81,FALSE)</f>
        <v>0</v>
      </c>
      <c r="CD68" s="34">
        <f>VLOOKUP($A68,'[1]Init $$'!$B$3:$CG$118,82,FALSE)</f>
        <v>147962.29999999999</v>
      </c>
      <c r="CE68" s="34">
        <f>VLOOKUP($A68,'[1]Init $$'!$B$3:$CG$118,83,FALSE)</f>
        <v>399297.48</v>
      </c>
      <c r="CF68" s="34">
        <f>VLOOKUP($A68,'[1]Init $$'!$B$3:$CG$118,84,FALSE)</f>
        <v>0</v>
      </c>
      <c r="CJ68" s="28">
        <f t="shared" si="2"/>
        <v>2394051.0100006275</v>
      </c>
      <c r="CK68" s="43">
        <f>'Est gen ed 23 $$'!CK68/'Est gen ed 23 pos'!CK$123</f>
        <v>0.99999604682144683</v>
      </c>
      <c r="CL68" s="43">
        <f>'Est gen ed 23 $$'!CL68/'Est gen ed 23 pos'!CL$123</f>
        <v>0</v>
      </c>
      <c r="CM68" s="43">
        <f>'Est gen ed 23 $$'!CM68/'Est gen ed 23 pos'!CM$123</f>
        <v>0.5</v>
      </c>
      <c r="CN68" s="43">
        <f>'Est gen ed 23 $$'!CN68/'Est gen ed 23 pos'!CN$123</f>
        <v>0</v>
      </c>
      <c r="CO68" s="43">
        <f>'Est gen ed 23 $$'!CO68/'Est gen ed 23 pos'!CO$123</f>
        <v>0</v>
      </c>
      <c r="CP68" s="43">
        <f>'Est gen ed 23 $$'!CP68/'Est gen ed 23 pos'!CP$123</f>
        <v>0</v>
      </c>
      <c r="CQ68" s="43">
        <f>'Est gen ed 23 $$'!CQ68/'Est gen ed 23 pos'!CQ$123</f>
        <v>0.99999604682144683</v>
      </c>
      <c r="CR68" s="43">
        <f>'Est gen ed 23 $$'!CR68/'Est gen ed 23 pos'!CR$123</f>
        <v>0.99999604682144683</v>
      </c>
      <c r="CS68" s="43">
        <f>'Est gen ed 23 $$'!CS68/'Est gen ed 23 pos'!CS$123</f>
        <v>0.99999604682144683</v>
      </c>
      <c r="CT68" s="43">
        <f>'Est gen ed 23 $$'!CT68/'Est gen ed 23 pos'!CT$123</f>
        <v>2</v>
      </c>
      <c r="CU68" s="43">
        <f>'Est gen ed 23 $$'!CU68/'Est gen ed 23 pos'!CU$123</f>
        <v>9</v>
      </c>
      <c r="CZ68" s="43">
        <f>'Est gen ed 23 $$'!CW68/'Est gen ed 23 pos'!CZ$123</f>
        <v>0</v>
      </c>
      <c r="DB68" s="28">
        <f t="shared" si="3"/>
        <v>895950</v>
      </c>
      <c r="DC68" s="28">
        <f t="shared" si="0"/>
        <v>547259.78</v>
      </c>
      <c r="DK68" s="34"/>
      <c r="DL68" s="34"/>
    </row>
    <row r="69" spans="1:116" x14ac:dyDescent="0.2">
      <c r="A69">
        <v>273</v>
      </c>
      <c r="B69" t="s">
        <v>60</v>
      </c>
      <c r="C69" t="s">
        <v>7</v>
      </c>
      <c r="D69">
        <v>3</v>
      </c>
      <c r="E69">
        <f>VLOOKUP($A69,'[1]Init $$'!$B$3:$CG$118,4,FALSE)</f>
        <v>367</v>
      </c>
      <c r="F69">
        <f>VLOOKUP($A69,'[1]Init $$'!$B$3:$CG$118,6,FALSE)</f>
        <v>331</v>
      </c>
      <c r="G69">
        <f>VLOOKUP($A69,'[2]$$xSchpostCouncilxLevel'!$A$4:$EW$120,153,FALSE)</f>
        <v>364</v>
      </c>
      <c r="H69" s="50">
        <f t="shared" si="1"/>
        <v>-33</v>
      </c>
      <c r="I69" s="4">
        <f>VLOOKUP($A69,'[1]Init $$'!$B$3:$CG$118,8,FALSE)</f>
        <v>2.4523160762942781E-2</v>
      </c>
      <c r="J69">
        <f>VLOOKUP($A69,'[1]Init $$'!$B$3:$CG$118,7,FALSE)</f>
        <v>9</v>
      </c>
      <c r="K69" s="43">
        <f>'Est gen ed 23 $$'!K69/'Est gen ed 23 pos'!K$123</f>
        <v>1</v>
      </c>
      <c r="L69" s="43">
        <f>'Est gen ed 23 $$'!L69/'Est gen ed 23 pos'!L$123</f>
        <v>0</v>
      </c>
      <c r="M69" s="43">
        <f>'Est gen ed 23 $$'!M69/'Est gen ed 23 pos'!M$123</f>
        <v>0</v>
      </c>
      <c r="N69" s="43">
        <f>'Est gen ed 23 $$'!N69/'Est gen ed 23 pos'!N$123</f>
        <v>1</v>
      </c>
      <c r="O69" s="34">
        <f>VLOOKUP($A69,'[1]Init $$'!$B$3:$CG$118,15,FALSE)</f>
        <v>5504.45</v>
      </c>
      <c r="P69" s="43">
        <f>'Est gen ed 23 $$'!P69/'Est gen ed 23 pos'!P$123</f>
        <v>1</v>
      </c>
      <c r="Q69" s="43">
        <f>'Est gen ed 23 $$'!Q69/'Est gen ed 23 pos'!Q$123</f>
        <v>1</v>
      </c>
      <c r="R69" s="43">
        <f>'Est gen ed 23 $$'!R69/'Est gen ed 23 pos'!R$123</f>
        <v>2.0000001953611113</v>
      </c>
      <c r="S69" s="43">
        <f>'Est gen ed 23 $$'!S69/'Est gen ed 23 pos'!S$123</f>
        <v>1</v>
      </c>
      <c r="T69" s="43">
        <f>'Est gen ed 23 $$'!T69/'Est gen ed 23 pos'!T$123</f>
        <v>0</v>
      </c>
      <c r="U69" s="43">
        <f>'Est gen ed 23 $$'!U69/'Est gen ed 23 pos'!U$123</f>
        <v>0</v>
      </c>
      <c r="V69" s="43">
        <f>'Est gen ed 23 $$'!V69/'Est gen ed 23 pos'!V$123</f>
        <v>1.9999999121515879</v>
      </c>
      <c r="W69" s="43">
        <f>'Est gen ed 23 $$'!W69/'Est gen ed 23 pos'!W$123</f>
        <v>1.9999997446793083</v>
      </c>
      <c r="X69" s="34">
        <f>VLOOKUP($A69,'[1]Init $$'!$B$3:$CG$118,24,FALSE)</f>
        <v>64508.4</v>
      </c>
      <c r="Y69" s="34">
        <f>VLOOKUP($A69,'[1]Init $$'!$B$3:$CG$118,25,FALSE)</f>
        <v>0</v>
      </c>
      <c r="Z69" s="34">
        <f>VLOOKUP($A69,'[1]Init $$'!$B$3:$CG$118,26,FALSE)</f>
        <v>0</v>
      </c>
      <c r="AA69" s="34">
        <f>VLOOKUP($A69,'[1]Init $$'!$B$3:$CG$118,27,FALSE)</f>
        <v>0</v>
      </c>
      <c r="AB69" s="43">
        <f>'Est gen ed 23 $$'!AB69/'Est gen ed 23 pos'!AB$123</f>
        <v>0</v>
      </c>
      <c r="AC69" s="43">
        <f>'Est gen ed 23 $$'!AC69/'Est gen ed 23 pos'!AC$123</f>
        <v>0</v>
      </c>
      <c r="AD69" s="43">
        <f>'Est gen ed 23 $$'!AD69/'Est gen ed 23 pos'!AD$123</f>
        <v>0</v>
      </c>
      <c r="AE69" s="43">
        <f>'Est gen ed 23 $$'!AE69/'Est gen ed 23 pos'!AE$123</f>
        <v>0</v>
      </c>
      <c r="AF69" s="34">
        <f>VLOOKUP($A69,'[1]Init $$'!$B$3:$CG$118,32,FALSE)</f>
        <v>1977063</v>
      </c>
      <c r="AG69" s="34">
        <f>VLOOKUP($A69,'[1]Init $$'!$B$3:$CG$118,33,FALSE)</f>
        <v>119275</v>
      </c>
      <c r="AH69" s="43">
        <f>'Est gen ed 23 $$'!AH69/'Est gen ed 23 pos'!AH$123</f>
        <v>1</v>
      </c>
      <c r="AI69" s="43">
        <f>'Est gen ed 23 $$'!AI69/'Est gen ed 23 pos'!AI$123</f>
        <v>1</v>
      </c>
      <c r="AJ69" s="43">
        <f>'Est gen ed 23 $$'!AJ69/'Est gen ed 23 pos'!AJ$123</f>
        <v>2.9999999121515879</v>
      </c>
      <c r="AK69" s="43">
        <f>'Est gen ed 23 $$'!AK69/'Est gen ed 23 pos'!AK$123</f>
        <v>0</v>
      </c>
      <c r="AL69" s="43">
        <f>'Est gen ed 23 $$'!AL69/'Est gen ed 23 pos'!AL$123</f>
        <v>0</v>
      </c>
      <c r="AM69" s="43">
        <f>'Est gen ed 23 $$'!AM69/'Est gen ed 23 pos'!AM$123</f>
        <v>0</v>
      </c>
      <c r="AN69" s="43">
        <f>'Est gen ed 23 $$'!AN69/'Est gen ed 23 pos'!AN$123</f>
        <v>0</v>
      </c>
      <c r="AO69" s="43">
        <f>'Est gen ed 23 $$'!AO69/'Est gen ed 23 pos'!AO$123</f>
        <v>0</v>
      </c>
      <c r="AP69" s="34">
        <f>VLOOKUP($A69,'[1]Init $$'!$B$3:$CG$118,42,FALSE)</f>
        <v>50173.2</v>
      </c>
      <c r="AQ69" s="34">
        <f>VLOOKUP($A69,'[1]Init $$'!$B$3:$CG$118,43,FALSE)</f>
        <v>0</v>
      </c>
      <c r="AR69" s="43">
        <f>'Est gen ed 23 $$'!AR69/'Est gen ed 23 pos'!AR$123</f>
        <v>2.9999999121515879</v>
      </c>
      <c r="AS69" s="43">
        <f>'Est gen ed 23 $$'!AS69/'Est gen ed 23 pos'!AS$123</f>
        <v>0</v>
      </c>
      <c r="AT69" s="43">
        <f>'Est gen ed 23 $$'!AT69/'Est gen ed 23 pos'!AT$123</f>
        <v>0</v>
      </c>
      <c r="AU69" s="34">
        <f>VLOOKUP($A69,'[1]Init $$'!$B$3:$CG$118,47,FALSE)</f>
        <v>100346.4</v>
      </c>
      <c r="AV69" s="34">
        <f>VLOOKUP($A69,'[1]Init $$'!$B$3:$CG$118,48,FALSE)</f>
        <v>0</v>
      </c>
      <c r="AW69" s="34">
        <f>VLOOKUP($A69,'[1]Init $$'!$B$3:$CG$118,49,FALSE)</f>
        <v>0</v>
      </c>
      <c r="AX69" s="34">
        <f>VLOOKUP($A69,'[1]Init $$'!$B$3:$CG$118,50,FALSE)</f>
        <v>0</v>
      </c>
      <c r="AY69" s="34">
        <f>VLOOKUP($A69,'[1]Init $$'!$B$3:$CG$118,51,FALSE)</f>
        <v>0</v>
      </c>
      <c r="AZ69" s="34">
        <f>VLOOKUP($A69,'[1]Init $$'!$B$3:$CG$118,52,FALSE)</f>
        <v>0</v>
      </c>
      <c r="BA69" s="34">
        <f>VLOOKUP($A69,'[1]Init $$'!$B$3:$CG$118,53,FALSE)</f>
        <v>0</v>
      </c>
      <c r="BB69" s="34">
        <f>VLOOKUP($A69,'[1]Init $$'!$B$3:$CG$118,54,FALSE)</f>
        <v>0</v>
      </c>
      <c r="BC69" s="34">
        <f>VLOOKUP($A69,'[1]Init $$'!$B$3:$CG$118,55,FALSE)</f>
        <v>0</v>
      </c>
      <c r="BD69" s="34">
        <f>VLOOKUP($A69,'[1]Init $$'!$B$3:$CG$118,56,FALSE)</f>
        <v>0</v>
      </c>
      <c r="BE69" s="34">
        <f>VLOOKUP($A69,'[1]Init $$'!$B$3:$CG$118,57,FALSE)</f>
        <v>9175</v>
      </c>
      <c r="BF69" s="43">
        <f>'Est gen ed 23 $$'!BF69/'Est gen ed 23 pos'!BF$123</f>
        <v>0</v>
      </c>
      <c r="BG69" s="43">
        <f>'Est gen ed 23 $$'!BG69/'Est gen ed 23 pos'!BG$123</f>
        <v>0</v>
      </c>
      <c r="BH69" s="34">
        <f>VLOOKUP($A69,'[1]Init $$'!$B$3:$CG$118,60,FALSE)</f>
        <v>0</v>
      </c>
      <c r="BI69" s="34">
        <f>VLOOKUP($A69,'[1]Init $$'!$B$3:$CG$118,61,FALSE)</f>
        <v>0</v>
      </c>
      <c r="BJ69" s="34">
        <f>VLOOKUP($A69,'[1]Init $$'!$B$3:$CG$118,62,FALSE)</f>
        <v>0</v>
      </c>
      <c r="BK69" s="43">
        <f>'Est gen ed 23 $$'!BK69/'Est gen ed 23 pos'!BK$123</f>
        <v>0</v>
      </c>
      <c r="BL69" s="34">
        <f>VLOOKUP($A69,'[1]Init $$'!$B$3:$CG$118,64,FALSE)</f>
        <v>0</v>
      </c>
      <c r="BM69" s="43">
        <f>'Est gen ed 23 $$'!BM69/'Est gen ed 23 pos'!BM$123</f>
        <v>0</v>
      </c>
      <c r="BN69" s="34">
        <f>VLOOKUP($A69,'[1]Init $$'!$B$3:$CG$118,66,FALSE)</f>
        <v>0</v>
      </c>
      <c r="BO69" s="43">
        <f>'Est gen ed 23 $$'!BO69/'Est gen ed 23 pos'!BO$123</f>
        <v>0</v>
      </c>
      <c r="BP69" s="34">
        <f>VLOOKUP($A69,'[1]Init $$'!$B$3:$CG$118,68,FALSE)</f>
        <v>0</v>
      </c>
      <c r="BQ69" s="43">
        <f>'Est gen ed 23 $$'!BQ69/'Est gen ed 23 pos'!BQ$123</f>
        <v>0</v>
      </c>
      <c r="BR69" s="43">
        <f>'Est gen ed 23 $$'!BR69/'Est gen ed 23 pos'!BR$123</f>
        <v>0</v>
      </c>
      <c r="BS69" s="34">
        <f>VLOOKUP($A69,'[1]Init $$'!$B$3:$CG$118,71,FALSE)</f>
        <v>0</v>
      </c>
      <c r="BT69" s="34">
        <f>VLOOKUP($A69,'[1]Init $$'!$B$3:$CG$118,72,FALSE)</f>
        <v>0</v>
      </c>
      <c r="BU69" s="34">
        <f>VLOOKUP($A69,'[1]Init $$'!$B$3:$CG$118,73,FALSE)</f>
        <v>0</v>
      </c>
      <c r="BV69" s="34">
        <f>VLOOKUP($A69,'[1]Init $$'!$B$3:$CG$118,74,FALSE)</f>
        <v>0</v>
      </c>
      <c r="BW69" s="34">
        <f>VLOOKUP($A69,'[1]Init $$'!$B$3:$CG$118,75,FALSE)</f>
        <v>0</v>
      </c>
      <c r="BX69" s="43">
        <f>'Est gen ed 23 $$'!BX69/'Est gen ed 23 pos'!BX$123</f>
        <v>0</v>
      </c>
      <c r="BY69" s="43">
        <f>'Est gen ed 23 $$'!BY69/'Est gen ed 23 pos'!BY$123</f>
        <v>0</v>
      </c>
      <c r="BZ69" s="43">
        <f>'Est gen ed 23 $$'!BZ69/'Est gen ed 23 pos'!BZ$123</f>
        <v>0</v>
      </c>
      <c r="CA69" s="34">
        <f>VLOOKUP($A69,'[1]Init $$'!$B$3:$CG$118,79,FALSE)</f>
        <v>24142.54</v>
      </c>
      <c r="CB69" s="34">
        <f>VLOOKUP($A69,'[1]Init $$'!$B$3:$CG$118,80,FALSE)</f>
        <v>0</v>
      </c>
      <c r="CC69" s="34">
        <f>VLOOKUP($A69,'[1]Init $$'!$B$3:$CG$118,81,FALSE)</f>
        <v>245377.21</v>
      </c>
      <c r="CD69" s="34">
        <f>VLOOKUP($A69,'[1]Init $$'!$B$3:$CG$118,82,FALSE)</f>
        <v>136890.51999999999</v>
      </c>
      <c r="CE69" s="34">
        <f>VLOOKUP($A69,'[1]Init $$'!$B$3:$CG$118,83,FALSE)</f>
        <v>138186.85</v>
      </c>
      <c r="CF69" s="34">
        <f>VLOOKUP($A69,'[1]Init $$'!$B$3:$CG$118,84,FALSE)</f>
        <v>330941.28000000003</v>
      </c>
      <c r="CJ69" s="28">
        <f t="shared" si="2"/>
        <v>3201602.8499996765</v>
      </c>
      <c r="CK69" s="43">
        <f>'Est gen ed 23 $$'!CK69/'Est gen ed 23 pos'!CK$123</f>
        <v>0.99999604682144683</v>
      </c>
      <c r="CL69" s="43">
        <f>'Est gen ed 23 $$'!CL69/'Est gen ed 23 pos'!CL$123</f>
        <v>0.91749999999999987</v>
      </c>
      <c r="CM69" s="43">
        <f>'Est gen ed 23 $$'!CM69/'Est gen ed 23 pos'!CM$123</f>
        <v>1</v>
      </c>
      <c r="CN69" s="43">
        <f>'Est gen ed 23 $$'!CN69/'Est gen ed 23 pos'!CN$123</f>
        <v>0</v>
      </c>
      <c r="CO69" s="43">
        <f>'Est gen ed 23 $$'!CO69/'Est gen ed 23 pos'!CO$123</f>
        <v>0</v>
      </c>
      <c r="CP69" s="43">
        <f>'Est gen ed 23 $$'!CP69/'Est gen ed 23 pos'!CP$123</f>
        <v>0</v>
      </c>
      <c r="CQ69" s="43">
        <f>'Est gen ed 23 $$'!CQ69/'Est gen ed 23 pos'!CQ$123</f>
        <v>0.99999604682144683</v>
      </c>
      <c r="CR69" s="43">
        <f>'Est gen ed 23 $$'!CR69/'Est gen ed 23 pos'!CR$123</f>
        <v>0.99999604682144683</v>
      </c>
      <c r="CS69" s="43">
        <f>'Est gen ed 23 $$'!CS69/'Est gen ed 23 pos'!CS$123</f>
        <v>1.4999940702321701</v>
      </c>
      <c r="CT69" s="43">
        <f>'Est gen ed 23 $$'!CT69/'Est gen ed 23 pos'!CT$123</f>
        <v>3</v>
      </c>
      <c r="CU69" s="43">
        <f>'Est gen ed 23 $$'!CU69/'Est gen ed 23 pos'!CU$123</f>
        <v>18</v>
      </c>
      <c r="CZ69" s="43">
        <f>'Est gen ed 23 $$'!CW69/'Est gen ed 23 pos'!CZ$123</f>
        <v>0</v>
      </c>
      <c r="DB69" s="28">
        <f t="shared" si="3"/>
        <v>1977063</v>
      </c>
      <c r="DC69" s="28">
        <f t="shared" si="0"/>
        <v>851395.86</v>
      </c>
      <c r="DK69" s="34"/>
      <c r="DL69" s="34"/>
    </row>
    <row r="70" spans="1:116" x14ac:dyDescent="0.2">
      <c r="A70">
        <v>284</v>
      </c>
      <c r="B70" t="s">
        <v>59</v>
      </c>
      <c r="C70" t="s">
        <v>7</v>
      </c>
      <c r="D70">
        <v>1</v>
      </c>
      <c r="E70">
        <f>VLOOKUP($A70,'[1]Init $$'!$B$3:$CG$118,4,FALSE)</f>
        <v>439</v>
      </c>
      <c r="F70">
        <f>VLOOKUP($A70,'[1]Init $$'!$B$3:$CG$118,6,FALSE)</f>
        <v>343</v>
      </c>
      <c r="G70">
        <f>VLOOKUP($A70,'[2]$$xSchpostCouncilxLevel'!$A$4:$EW$120,153,FALSE)</f>
        <v>359</v>
      </c>
      <c r="H70" s="50">
        <f t="shared" si="1"/>
        <v>-16</v>
      </c>
      <c r="I70" s="4">
        <f>VLOOKUP($A70,'[1]Init $$'!$B$3:$CG$118,8,FALSE)</f>
        <v>0.27562642369020501</v>
      </c>
      <c r="J70">
        <f>VLOOKUP($A70,'[1]Init $$'!$B$3:$CG$118,7,FALSE)</f>
        <v>121</v>
      </c>
      <c r="K70" s="43">
        <f>'Est gen ed 23 $$'!K70/'Est gen ed 23 pos'!K$123</f>
        <v>1</v>
      </c>
      <c r="L70" s="43">
        <f>'Est gen ed 23 $$'!L70/'Est gen ed 23 pos'!L$123</f>
        <v>0</v>
      </c>
      <c r="M70" s="43">
        <f>'Est gen ed 23 $$'!M70/'Est gen ed 23 pos'!M$123</f>
        <v>0</v>
      </c>
      <c r="N70" s="43">
        <f>'Est gen ed 23 $$'!N70/'Est gen ed 23 pos'!N$123</f>
        <v>1</v>
      </c>
      <c r="O70" s="34">
        <f>VLOOKUP($A70,'[1]Init $$'!$B$3:$CG$118,15,FALSE)</f>
        <v>7106</v>
      </c>
      <c r="P70" s="43">
        <f>'Est gen ed 23 $$'!P70/'Est gen ed 23 pos'!P$123</f>
        <v>1</v>
      </c>
      <c r="Q70" s="43">
        <f>'Est gen ed 23 $$'!Q70/'Est gen ed 23 pos'!Q$123</f>
        <v>1</v>
      </c>
      <c r="R70" s="43">
        <f>'Est gen ed 23 $$'!R70/'Est gen ed 23 pos'!R$123</f>
        <v>2.0000001953611113</v>
      </c>
      <c r="S70" s="43">
        <f>'Est gen ed 23 $$'!S70/'Est gen ed 23 pos'!S$123</f>
        <v>1</v>
      </c>
      <c r="T70" s="43">
        <f>'Est gen ed 23 $$'!T70/'Est gen ed 23 pos'!T$123</f>
        <v>2.9999999121515879</v>
      </c>
      <c r="U70" s="43">
        <f>'Est gen ed 23 $$'!U70/'Est gen ed 23 pos'!U$123</f>
        <v>0</v>
      </c>
      <c r="V70" s="43">
        <f>'Est gen ed 23 $$'!V70/'Est gen ed 23 pos'!V$123</f>
        <v>2.9999999121515879</v>
      </c>
      <c r="W70" s="43">
        <f>'Est gen ed 23 $$'!W70/'Est gen ed 23 pos'!W$123</f>
        <v>5.9999994893586166</v>
      </c>
      <c r="X70" s="34">
        <f>VLOOKUP($A70,'[1]Init $$'!$B$3:$CG$118,24,FALSE)</f>
        <v>172022.39999999999</v>
      </c>
      <c r="Y70" s="34">
        <f>VLOOKUP($A70,'[1]Init $$'!$B$3:$CG$118,25,FALSE)</f>
        <v>0</v>
      </c>
      <c r="Z70" s="34">
        <f>VLOOKUP($A70,'[1]Init $$'!$B$3:$CG$118,26,FALSE)</f>
        <v>0</v>
      </c>
      <c r="AA70" s="34">
        <f>VLOOKUP($A70,'[1]Init $$'!$B$3:$CG$118,27,FALSE)</f>
        <v>0</v>
      </c>
      <c r="AB70" s="43">
        <f>'Est gen ed 23 $$'!AB70/'Est gen ed 23 pos'!AB$123</f>
        <v>0</v>
      </c>
      <c r="AC70" s="43">
        <f>'Est gen ed 23 $$'!AC70/'Est gen ed 23 pos'!AC$123</f>
        <v>0</v>
      </c>
      <c r="AD70" s="43">
        <f>'Est gen ed 23 $$'!AD70/'Est gen ed 23 pos'!AD$123</f>
        <v>0</v>
      </c>
      <c r="AE70" s="43">
        <f>'Est gen ed 23 $$'!AE70/'Est gen ed 23 pos'!AE$123</f>
        <v>0</v>
      </c>
      <c r="AF70" s="34">
        <f>VLOOKUP($A70,'[1]Init $$'!$B$3:$CG$118,32,FALSE)</f>
        <v>2048739</v>
      </c>
      <c r="AG70" s="34">
        <f>VLOOKUP($A70,'[1]Init $$'!$B$3:$CG$118,33,FALSE)</f>
        <v>142675</v>
      </c>
      <c r="AH70" s="43">
        <f>'Est gen ed 23 $$'!AH70/'Est gen ed 23 pos'!AH$123</f>
        <v>1</v>
      </c>
      <c r="AI70" s="43">
        <f>'Est gen ed 23 $$'!AI70/'Est gen ed 23 pos'!AI$123</f>
        <v>3.9999998243031758</v>
      </c>
      <c r="AJ70" s="43">
        <f>'Est gen ed 23 $$'!AJ70/'Est gen ed 23 pos'!AJ$123</f>
        <v>3.9999998243031758</v>
      </c>
      <c r="AK70" s="43">
        <f>'Est gen ed 23 $$'!AK70/'Est gen ed 23 pos'!AK$123</f>
        <v>1</v>
      </c>
      <c r="AL70" s="43">
        <f>'Est gen ed 23 $$'!AL70/'Est gen ed 23 pos'!AL$123</f>
        <v>1</v>
      </c>
      <c r="AM70" s="43">
        <f>'Est gen ed 23 $$'!AM70/'Est gen ed 23 pos'!AM$123</f>
        <v>0</v>
      </c>
      <c r="AN70" s="43">
        <f>'Est gen ed 23 $$'!AN70/'Est gen ed 23 pos'!AN$123</f>
        <v>1.0000010424267696</v>
      </c>
      <c r="AO70" s="43">
        <f>'Est gen ed 23 $$'!AO70/'Est gen ed 23 pos'!AO$123</f>
        <v>0</v>
      </c>
      <c r="AP70" s="34">
        <f>VLOOKUP($A70,'[1]Init $$'!$B$3:$CG$118,42,FALSE)</f>
        <v>105722.1</v>
      </c>
      <c r="AQ70" s="34">
        <f>VLOOKUP($A70,'[1]Init $$'!$B$3:$CG$118,43,FALSE)</f>
        <v>0</v>
      </c>
      <c r="AR70" s="43">
        <f>'Est gen ed 23 $$'!AR70/'Est gen ed 23 pos'!AR$123</f>
        <v>9.4999996925305563</v>
      </c>
      <c r="AS70" s="43">
        <f>'Est gen ed 23 $$'!AS70/'Est gen ed 23 pos'!AS$123</f>
        <v>0</v>
      </c>
      <c r="AT70" s="43">
        <f>'Est gen ed 23 $$'!AT70/'Est gen ed 23 pos'!AT$123</f>
        <v>0</v>
      </c>
      <c r="AU70" s="34">
        <f>VLOOKUP($A70,'[1]Init $$'!$B$3:$CG$118,47,FALSE)</f>
        <v>358380</v>
      </c>
      <c r="AV70" s="34">
        <f>VLOOKUP($A70,'[1]Init $$'!$B$3:$CG$118,48,FALSE)</f>
        <v>40800</v>
      </c>
      <c r="AW70" s="34">
        <f>VLOOKUP($A70,'[1]Init $$'!$B$3:$CG$118,49,FALSE)</f>
        <v>40800</v>
      </c>
      <c r="AX70" s="34">
        <f>VLOOKUP($A70,'[1]Init $$'!$B$3:$CG$118,50,FALSE)</f>
        <v>10200</v>
      </c>
      <c r="AY70" s="34">
        <f>VLOOKUP($A70,'[1]Init $$'!$B$3:$CG$118,51,FALSE)</f>
        <v>0</v>
      </c>
      <c r="AZ70" s="34">
        <f>VLOOKUP($A70,'[1]Init $$'!$B$3:$CG$118,52,FALSE)</f>
        <v>40800</v>
      </c>
      <c r="BA70" s="34">
        <f>VLOOKUP($A70,'[1]Init $$'!$B$3:$CG$118,53,FALSE)</f>
        <v>0</v>
      </c>
      <c r="BB70" s="34">
        <f>VLOOKUP($A70,'[1]Init $$'!$B$3:$CG$118,54,FALSE)</f>
        <v>40800</v>
      </c>
      <c r="BC70" s="34">
        <f>VLOOKUP($A70,'[1]Init $$'!$B$3:$CG$118,55,FALSE)</f>
        <v>81393.649999999994</v>
      </c>
      <c r="BD70" s="34">
        <f>VLOOKUP($A70,'[1]Init $$'!$B$3:$CG$118,56,FALSE)</f>
        <v>0</v>
      </c>
      <c r="BE70" s="34">
        <f>VLOOKUP($A70,'[1]Init $$'!$B$3:$CG$118,57,FALSE)</f>
        <v>0</v>
      </c>
      <c r="BF70" s="43">
        <f>'Est gen ed 23 $$'!BF70/'Est gen ed 23 pos'!BF$123</f>
        <v>0</v>
      </c>
      <c r="BG70" s="43">
        <f>'Est gen ed 23 $$'!BG70/'Est gen ed 23 pos'!BG$123</f>
        <v>0</v>
      </c>
      <c r="BH70" s="34">
        <f>VLOOKUP($A70,'[1]Init $$'!$B$3:$CG$118,60,FALSE)</f>
        <v>0</v>
      </c>
      <c r="BI70" s="34">
        <f>VLOOKUP($A70,'[1]Init $$'!$B$3:$CG$118,61,FALSE)</f>
        <v>0</v>
      </c>
      <c r="BJ70" s="34">
        <f>VLOOKUP($A70,'[1]Init $$'!$B$3:$CG$118,62,FALSE)</f>
        <v>0</v>
      </c>
      <c r="BK70" s="43">
        <f>'Est gen ed 23 $$'!BK70/'Est gen ed 23 pos'!BK$123</f>
        <v>0</v>
      </c>
      <c r="BL70" s="34">
        <f>VLOOKUP($A70,'[1]Init $$'!$B$3:$CG$118,64,FALSE)</f>
        <v>0</v>
      </c>
      <c r="BM70" s="43">
        <f>'Est gen ed 23 $$'!BM70/'Est gen ed 23 pos'!BM$123</f>
        <v>0</v>
      </c>
      <c r="BN70" s="34">
        <f>VLOOKUP($A70,'[1]Init $$'!$B$3:$CG$118,66,FALSE)</f>
        <v>0</v>
      </c>
      <c r="BO70" s="43">
        <f>'Est gen ed 23 $$'!BO70/'Est gen ed 23 pos'!BO$123</f>
        <v>0</v>
      </c>
      <c r="BP70" s="34">
        <f>VLOOKUP($A70,'[1]Init $$'!$B$3:$CG$118,68,FALSE)</f>
        <v>48800</v>
      </c>
      <c r="BQ70" s="43">
        <f>'Est gen ed 23 $$'!BQ70/'Est gen ed 23 pos'!BQ$123</f>
        <v>1</v>
      </c>
      <c r="BR70" s="43">
        <f>'Est gen ed 23 $$'!BR70/'Est gen ed 23 pos'!BR$123</f>
        <v>1</v>
      </c>
      <c r="BS70" s="34">
        <f>VLOOKUP($A70,'[1]Init $$'!$B$3:$CG$118,71,FALSE)</f>
        <v>97600</v>
      </c>
      <c r="BT70" s="34">
        <f>VLOOKUP($A70,'[1]Init $$'!$B$3:$CG$118,72,FALSE)</f>
        <v>5000</v>
      </c>
      <c r="BU70" s="34">
        <f>VLOOKUP($A70,'[1]Init $$'!$B$3:$CG$118,73,FALSE)</f>
        <v>0</v>
      </c>
      <c r="BV70" s="34">
        <f>VLOOKUP($A70,'[1]Init $$'!$B$3:$CG$118,74,FALSE)</f>
        <v>0</v>
      </c>
      <c r="BW70" s="34">
        <f>VLOOKUP($A70,'[1]Init $$'!$B$3:$CG$118,75,FALSE)</f>
        <v>0</v>
      </c>
      <c r="BX70" s="43">
        <f>'Est gen ed 23 $$'!BX70/'Est gen ed 23 pos'!BX$123</f>
        <v>0</v>
      </c>
      <c r="BY70" s="43">
        <f>'Est gen ed 23 $$'!BY70/'Est gen ed 23 pos'!BY$123</f>
        <v>0</v>
      </c>
      <c r="BZ70" s="43">
        <f>'Est gen ed 23 $$'!BZ70/'Est gen ed 23 pos'!BZ$123</f>
        <v>0</v>
      </c>
      <c r="CA70" s="34">
        <f>VLOOKUP($A70,'[1]Init $$'!$B$3:$CG$118,79,FALSE)</f>
        <v>324582.98</v>
      </c>
      <c r="CB70" s="34">
        <f>VLOOKUP($A70,'[1]Init $$'!$B$3:$CG$118,80,FALSE)</f>
        <v>0</v>
      </c>
      <c r="CC70" s="34">
        <f>VLOOKUP($A70,'[1]Init $$'!$B$3:$CG$118,81,FALSE)</f>
        <v>420715.02</v>
      </c>
      <c r="CD70" s="34">
        <f>VLOOKUP($A70,'[1]Init $$'!$B$3:$CG$118,82,FALSE)</f>
        <v>240793.82</v>
      </c>
      <c r="CE70" s="34">
        <f>VLOOKUP($A70,'[1]Init $$'!$B$3:$CG$118,83,FALSE)</f>
        <v>202387.73</v>
      </c>
      <c r="CF70" s="34">
        <f>VLOOKUP($A70,'[1]Init $$'!$B$3:$CG$118,84,FALSE)</f>
        <v>176329.56</v>
      </c>
      <c r="CJ70" s="28">
        <f t="shared" si="2"/>
        <v>4605689.7599998936</v>
      </c>
      <c r="CK70" s="43">
        <f>'Est gen ed 23 $$'!CK70/'Est gen ed 23 pos'!CK$123</f>
        <v>0.99999604682144683</v>
      </c>
      <c r="CL70" s="43">
        <f>'Est gen ed 23 $$'!CL70/'Est gen ed 23 pos'!CL$123</f>
        <v>1.0974999999999999</v>
      </c>
      <c r="CM70" s="43">
        <f>'Est gen ed 23 $$'!CM70/'Est gen ed 23 pos'!CM$123</f>
        <v>1</v>
      </c>
      <c r="CN70" s="43">
        <f>'Est gen ed 23 $$'!CN70/'Est gen ed 23 pos'!CN$123</f>
        <v>0.91116173120728916</v>
      </c>
      <c r="CO70" s="43">
        <f>'Est gen ed 23 $$'!CO70/'Est gen ed 23 pos'!CO$123</f>
        <v>0</v>
      </c>
      <c r="CP70" s="43">
        <f>'Est gen ed 23 $$'!CP70/'Est gen ed 23 pos'!CP$123</f>
        <v>0</v>
      </c>
      <c r="CQ70" s="43">
        <f>'Est gen ed 23 $$'!CQ70/'Est gen ed 23 pos'!CQ$123</f>
        <v>1.4999940702321701</v>
      </c>
      <c r="CR70" s="43">
        <f>'Est gen ed 23 $$'!CR70/'Est gen ed 23 pos'!CR$123</f>
        <v>1.4999940702321701</v>
      </c>
      <c r="CS70" s="43">
        <f>'Est gen ed 23 $$'!CS70/'Est gen ed 23 pos'!CS$123</f>
        <v>1.9999920936428937</v>
      </c>
      <c r="CT70" s="43">
        <f>'Est gen ed 23 $$'!CT70/'Est gen ed 23 pos'!CT$123</f>
        <v>3</v>
      </c>
      <c r="CU70" s="43">
        <f>'Est gen ed 23 $$'!CU70/'Est gen ed 23 pos'!CU$123</f>
        <v>19</v>
      </c>
      <c r="CZ70" s="43">
        <f>'Est gen ed 23 $$'!CW70/'Est gen ed 23 pos'!CZ$123</f>
        <v>0</v>
      </c>
      <c r="DB70" s="28">
        <f t="shared" si="3"/>
        <v>2048739</v>
      </c>
      <c r="DC70" s="28">
        <f t="shared" ref="DC70:DC121" si="4">SUM(CC70:CF70)</f>
        <v>1040226.1300000001</v>
      </c>
      <c r="DK70" s="34"/>
      <c r="DL70" s="34"/>
    </row>
    <row r="71" spans="1:116" x14ac:dyDescent="0.2">
      <c r="A71">
        <v>274</v>
      </c>
      <c r="B71" t="s">
        <v>58</v>
      </c>
      <c r="C71" t="s">
        <v>7</v>
      </c>
      <c r="D71">
        <v>6</v>
      </c>
      <c r="E71">
        <f>VLOOKUP($A71,'[1]Init $$'!$B$3:$CG$118,4,FALSE)</f>
        <v>547</v>
      </c>
      <c r="F71">
        <f>VLOOKUP($A71,'[1]Init $$'!$B$3:$CG$118,6,FALSE)</f>
        <v>464</v>
      </c>
      <c r="G71">
        <f>VLOOKUP($A71,'[2]$$xSchpostCouncilxLevel'!$A$4:$EW$120,153,FALSE)</f>
        <v>427</v>
      </c>
      <c r="H71" s="50">
        <f t="shared" ref="H71:H122" si="5">F71-G71</f>
        <v>37</v>
      </c>
      <c r="I71" s="4">
        <f>VLOOKUP($A71,'[1]Init $$'!$B$3:$CG$118,8,FALSE)</f>
        <v>0.1170018281535649</v>
      </c>
      <c r="J71">
        <f>VLOOKUP($A71,'[1]Init $$'!$B$3:$CG$118,7,FALSE)</f>
        <v>64</v>
      </c>
      <c r="K71" s="43">
        <f>'Est gen ed 23 $$'!K71/'Est gen ed 23 pos'!K$123</f>
        <v>1</v>
      </c>
      <c r="L71" s="43">
        <f>'Est gen ed 23 $$'!L71/'Est gen ed 23 pos'!L$123</f>
        <v>0</v>
      </c>
      <c r="M71" s="43">
        <f>'Est gen ed 23 $$'!M71/'Est gen ed 23 pos'!M$123</f>
        <v>0</v>
      </c>
      <c r="N71" s="43">
        <f>'Est gen ed 23 $$'!N71/'Est gen ed 23 pos'!N$123</f>
        <v>1</v>
      </c>
      <c r="O71" s="34">
        <f>VLOOKUP($A71,'[1]Init $$'!$B$3:$CG$118,15,FALSE)</f>
        <v>4796</v>
      </c>
      <c r="P71" s="43">
        <f>'Est gen ed 23 $$'!P71/'Est gen ed 23 pos'!P$123</f>
        <v>1</v>
      </c>
      <c r="Q71" s="43">
        <f>'Est gen ed 23 $$'!Q71/'Est gen ed 23 pos'!Q$123</f>
        <v>1</v>
      </c>
      <c r="R71" s="43">
        <f>'Est gen ed 23 $$'!R71/'Est gen ed 23 pos'!R$123</f>
        <v>3.0000001953611113</v>
      </c>
      <c r="S71" s="43">
        <f>'Est gen ed 23 $$'!S71/'Est gen ed 23 pos'!S$123</f>
        <v>1</v>
      </c>
      <c r="T71" s="43">
        <f>'Est gen ed 23 $$'!T71/'Est gen ed 23 pos'!T$123</f>
        <v>1.9999999121515879</v>
      </c>
      <c r="U71" s="43">
        <f>'Est gen ed 23 $$'!U71/'Est gen ed 23 pos'!U$123</f>
        <v>1</v>
      </c>
      <c r="V71" s="43">
        <f>'Est gen ed 23 $$'!V71/'Est gen ed 23 pos'!V$123</f>
        <v>1.9999999121515879</v>
      </c>
      <c r="W71" s="43">
        <f>'Est gen ed 23 $$'!W71/'Est gen ed 23 pos'!W$123</f>
        <v>4.9999994893586166</v>
      </c>
      <c r="X71" s="34">
        <f>VLOOKUP($A71,'[1]Init $$'!$B$3:$CG$118,24,FALSE)</f>
        <v>148727.70000000001</v>
      </c>
      <c r="Y71" s="34">
        <f>VLOOKUP($A71,'[1]Init $$'!$B$3:$CG$118,25,FALSE)</f>
        <v>0</v>
      </c>
      <c r="Z71" s="34">
        <f>VLOOKUP($A71,'[1]Init $$'!$B$3:$CG$118,26,FALSE)</f>
        <v>0</v>
      </c>
      <c r="AA71" s="34">
        <f>VLOOKUP($A71,'[1]Init $$'!$B$3:$CG$118,27,FALSE)</f>
        <v>0</v>
      </c>
      <c r="AB71" s="43">
        <f>'Est gen ed 23 $$'!AB71/'Est gen ed 23 pos'!AB$123</f>
        <v>0</v>
      </c>
      <c r="AC71" s="43">
        <f>'Est gen ed 23 $$'!AC71/'Est gen ed 23 pos'!AC$123</f>
        <v>0</v>
      </c>
      <c r="AD71" s="43">
        <f>'Est gen ed 23 $$'!AD71/'Est gen ed 23 pos'!AD$123</f>
        <v>0</v>
      </c>
      <c r="AE71" s="43">
        <f>'Est gen ed 23 $$'!AE71/'Est gen ed 23 pos'!AE$123</f>
        <v>0</v>
      </c>
      <c r="AF71" s="34">
        <f>VLOOKUP($A71,'[1]Init $$'!$B$3:$CG$118,32,FALSE)</f>
        <v>2771472</v>
      </c>
      <c r="AG71" s="34">
        <f>VLOOKUP($A71,'[1]Init $$'!$B$3:$CG$118,33,FALSE)</f>
        <v>177775</v>
      </c>
      <c r="AH71" s="43">
        <f>'Est gen ed 23 $$'!AH71/'Est gen ed 23 pos'!AH$123</f>
        <v>1</v>
      </c>
      <c r="AI71" s="43">
        <f>'Est gen ed 23 $$'!AI71/'Est gen ed 23 pos'!AI$123</f>
        <v>1</v>
      </c>
      <c r="AJ71" s="43">
        <f>'Est gen ed 23 $$'!AJ71/'Est gen ed 23 pos'!AJ$123</f>
        <v>2.9999999121515879</v>
      </c>
      <c r="AK71" s="43">
        <f>'Est gen ed 23 $$'!AK71/'Est gen ed 23 pos'!AK$123</f>
        <v>0</v>
      </c>
      <c r="AL71" s="43">
        <f>'Est gen ed 23 $$'!AL71/'Est gen ed 23 pos'!AL$123</f>
        <v>0</v>
      </c>
      <c r="AM71" s="43">
        <f>'Est gen ed 23 $$'!AM71/'Est gen ed 23 pos'!AM$123</f>
        <v>0</v>
      </c>
      <c r="AN71" s="43">
        <f>'Est gen ed 23 $$'!AN71/'Est gen ed 23 pos'!AN$123</f>
        <v>0</v>
      </c>
      <c r="AO71" s="43">
        <f>'Est gen ed 23 $$'!AO71/'Est gen ed 23 pos'!AO$123</f>
        <v>0</v>
      </c>
      <c r="AP71" s="34">
        <f>VLOOKUP($A71,'[1]Init $$'!$B$3:$CG$118,42,FALSE)</f>
        <v>93178.8</v>
      </c>
      <c r="AQ71" s="34">
        <f>VLOOKUP($A71,'[1]Init $$'!$B$3:$CG$118,43,FALSE)</f>
        <v>0</v>
      </c>
      <c r="AR71" s="43">
        <f>'Est gen ed 23 $$'!AR71/'Est gen ed 23 pos'!AR$123</f>
        <v>0</v>
      </c>
      <c r="AS71" s="43">
        <f>'Est gen ed 23 $$'!AS71/'Est gen ed 23 pos'!AS$123</f>
        <v>0.17999999121515878</v>
      </c>
      <c r="AT71" s="43">
        <f>'Est gen ed 23 $$'!AT71/'Est gen ed 23 pos'!AT$123</f>
        <v>0</v>
      </c>
      <c r="AU71" s="34">
        <f>VLOOKUP($A71,'[1]Init $$'!$B$3:$CG$118,47,FALSE)</f>
        <v>7167.6</v>
      </c>
      <c r="AV71" s="34">
        <f>VLOOKUP($A71,'[1]Init $$'!$B$3:$CG$118,48,FALSE)</f>
        <v>0</v>
      </c>
      <c r="AW71" s="34">
        <f>VLOOKUP($A71,'[1]Init $$'!$B$3:$CG$118,49,FALSE)</f>
        <v>0</v>
      </c>
      <c r="AX71" s="34">
        <f>VLOOKUP($A71,'[1]Init $$'!$B$3:$CG$118,50,FALSE)</f>
        <v>0</v>
      </c>
      <c r="AY71" s="34">
        <f>VLOOKUP($A71,'[1]Init $$'!$B$3:$CG$118,51,FALSE)</f>
        <v>0</v>
      </c>
      <c r="AZ71" s="34">
        <f>VLOOKUP($A71,'[1]Init $$'!$B$3:$CG$118,52,FALSE)</f>
        <v>0</v>
      </c>
      <c r="BA71" s="34">
        <f>VLOOKUP($A71,'[1]Init $$'!$B$3:$CG$118,53,FALSE)</f>
        <v>0</v>
      </c>
      <c r="BB71" s="34">
        <f>VLOOKUP($A71,'[1]Init $$'!$B$3:$CG$118,54,FALSE)</f>
        <v>0</v>
      </c>
      <c r="BC71" s="34">
        <f>VLOOKUP($A71,'[1]Init $$'!$B$3:$CG$118,55,FALSE)</f>
        <v>0</v>
      </c>
      <c r="BD71" s="34">
        <f>VLOOKUP($A71,'[1]Init $$'!$B$3:$CG$118,56,FALSE)</f>
        <v>0</v>
      </c>
      <c r="BE71" s="34">
        <f>VLOOKUP($A71,'[1]Init $$'!$B$3:$CG$118,57,FALSE)</f>
        <v>13675</v>
      </c>
      <c r="BF71" s="43">
        <f>'Est gen ed 23 $$'!BF71/'Est gen ed 23 pos'!BF$123</f>
        <v>0</v>
      </c>
      <c r="BG71" s="43">
        <f>'Est gen ed 23 $$'!BG71/'Est gen ed 23 pos'!BG$123</f>
        <v>0</v>
      </c>
      <c r="BH71" s="34">
        <f>VLOOKUP($A71,'[1]Init $$'!$B$3:$CG$118,60,FALSE)</f>
        <v>0</v>
      </c>
      <c r="BI71" s="34">
        <f>VLOOKUP($A71,'[1]Init $$'!$B$3:$CG$118,61,FALSE)</f>
        <v>0</v>
      </c>
      <c r="BJ71" s="34">
        <f>VLOOKUP($A71,'[1]Init $$'!$B$3:$CG$118,62,FALSE)</f>
        <v>0</v>
      </c>
      <c r="BK71" s="43">
        <f>'Est gen ed 23 $$'!BK71/'Est gen ed 23 pos'!BK$123</f>
        <v>0</v>
      </c>
      <c r="BL71" s="34">
        <f>VLOOKUP($A71,'[1]Init $$'!$B$3:$CG$118,64,FALSE)</f>
        <v>0</v>
      </c>
      <c r="BM71" s="43">
        <f>'Est gen ed 23 $$'!BM71/'Est gen ed 23 pos'!BM$123</f>
        <v>0</v>
      </c>
      <c r="BN71" s="34">
        <f>VLOOKUP($A71,'[1]Init $$'!$B$3:$CG$118,66,FALSE)</f>
        <v>0</v>
      </c>
      <c r="BO71" s="43">
        <f>'Est gen ed 23 $$'!BO71/'Est gen ed 23 pos'!BO$123</f>
        <v>0</v>
      </c>
      <c r="BP71" s="34">
        <f>VLOOKUP($A71,'[1]Init $$'!$B$3:$CG$118,68,FALSE)</f>
        <v>0</v>
      </c>
      <c r="BQ71" s="43">
        <f>'Est gen ed 23 $$'!BQ71/'Est gen ed 23 pos'!BQ$123</f>
        <v>0</v>
      </c>
      <c r="BR71" s="43">
        <f>'Est gen ed 23 $$'!BR71/'Est gen ed 23 pos'!BR$123</f>
        <v>0</v>
      </c>
      <c r="BS71" s="34">
        <f>VLOOKUP($A71,'[1]Init $$'!$B$3:$CG$118,71,FALSE)</f>
        <v>0</v>
      </c>
      <c r="BT71" s="34">
        <f>VLOOKUP($A71,'[1]Init $$'!$B$3:$CG$118,72,FALSE)</f>
        <v>0</v>
      </c>
      <c r="BU71" s="34">
        <f>VLOOKUP($A71,'[1]Init $$'!$B$3:$CG$118,73,FALSE)</f>
        <v>0</v>
      </c>
      <c r="BV71" s="34">
        <f>VLOOKUP($A71,'[1]Init $$'!$B$3:$CG$118,74,FALSE)</f>
        <v>0</v>
      </c>
      <c r="BW71" s="34">
        <f>VLOOKUP($A71,'[1]Init $$'!$B$3:$CG$118,75,FALSE)</f>
        <v>0</v>
      </c>
      <c r="BX71" s="43">
        <f>'Est gen ed 23 $$'!BX71/'Est gen ed 23 pos'!BX$123</f>
        <v>0</v>
      </c>
      <c r="BY71" s="43">
        <f>'Est gen ed 23 $$'!BY71/'Est gen ed 23 pos'!BY$123</f>
        <v>0</v>
      </c>
      <c r="BZ71" s="43">
        <f>'Est gen ed 23 $$'!BZ71/'Est gen ed 23 pos'!BZ$123</f>
        <v>0</v>
      </c>
      <c r="CA71" s="34">
        <f>VLOOKUP($A71,'[1]Init $$'!$B$3:$CG$118,79,FALSE)</f>
        <v>171680.26</v>
      </c>
      <c r="CB71" s="34">
        <f>VLOOKUP($A71,'[1]Init $$'!$B$3:$CG$118,80,FALSE)</f>
        <v>0</v>
      </c>
      <c r="CC71" s="34">
        <f>VLOOKUP($A71,'[1]Init $$'!$B$3:$CG$118,81,FALSE)</f>
        <v>25997.91</v>
      </c>
      <c r="CD71" s="34">
        <f>VLOOKUP($A71,'[1]Init $$'!$B$3:$CG$118,82,FALSE)</f>
        <v>220358.6</v>
      </c>
      <c r="CE71" s="34">
        <f>VLOOKUP($A71,'[1]Init $$'!$B$3:$CG$118,83,FALSE)</f>
        <v>322034.90999999997</v>
      </c>
      <c r="CF71" s="34">
        <f>VLOOKUP($A71,'[1]Init $$'!$B$3:$CG$118,84,FALSE)</f>
        <v>0</v>
      </c>
      <c r="CJ71" s="28">
        <f t="shared" ref="CJ71:CJ121" si="6">SUM(K71:CI71)</f>
        <v>3956886.9599994128</v>
      </c>
      <c r="CK71" s="43">
        <f>'Est gen ed 23 $$'!CK71/'Est gen ed 23 pos'!CK$123</f>
        <v>0.99999604682144683</v>
      </c>
      <c r="CL71" s="43">
        <f>'Est gen ed 23 $$'!CL71/'Est gen ed 23 pos'!CL$123</f>
        <v>1.3674999999999999</v>
      </c>
      <c r="CM71" s="43">
        <f>'Est gen ed 23 $$'!CM71/'Est gen ed 23 pos'!CM$123</f>
        <v>1</v>
      </c>
      <c r="CN71" s="43">
        <f>'Est gen ed 23 $$'!CN71/'Est gen ed 23 pos'!CN$123</f>
        <v>0.73126142595978061</v>
      </c>
      <c r="CO71" s="43">
        <f>'Est gen ed 23 $$'!CO71/'Est gen ed 23 pos'!CO$123</f>
        <v>0</v>
      </c>
      <c r="CP71" s="43">
        <f>'Est gen ed 23 $$'!CP71/'Est gen ed 23 pos'!CP$123</f>
        <v>0</v>
      </c>
      <c r="CQ71" s="43">
        <f>'Est gen ed 23 $$'!CQ71/'Est gen ed 23 pos'!CQ$123</f>
        <v>1.4999940702321701</v>
      </c>
      <c r="CR71" s="43">
        <f>'Est gen ed 23 $$'!CR71/'Est gen ed 23 pos'!CR$123</f>
        <v>1.4999940702321701</v>
      </c>
      <c r="CS71" s="43">
        <f>'Est gen ed 23 $$'!CS71/'Est gen ed 23 pos'!CS$123</f>
        <v>2.499990117053617</v>
      </c>
      <c r="CT71" s="43">
        <f>'Est gen ed 23 $$'!CT71/'Est gen ed 23 pos'!CT$123</f>
        <v>4</v>
      </c>
      <c r="CU71" s="43">
        <f>'Est gen ed 23 $$'!CU71/'Est gen ed 23 pos'!CU$123</f>
        <v>24</v>
      </c>
      <c r="CZ71" s="43">
        <f>'Est gen ed 23 $$'!CW71/'Est gen ed 23 pos'!CZ$123</f>
        <v>0</v>
      </c>
      <c r="DB71" s="28">
        <f t="shared" ref="DB71:DB121" si="7">SUM(AA71,AF71,BV71)</f>
        <v>2771472</v>
      </c>
      <c r="DC71" s="28">
        <f t="shared" si="4"/>
        <v>568391.41999999993</v>
      </c>
      <c r="DK71" s="34"/>
      <c r="DL71" s="34"/>
    </row>
    <row r="72" spans="1:116" x14ac:dyDescent="0.2">
      <c r="A72">
        <v>435</v>
      </c>
      <c r="B72" t="s">
        <v>57</v>
      </c>
      <c r="C72" t="s">
        <v>19</v>
      </c>
      <c r="D72">
        <v>5</v>
      </c>
      <c r="E72">
        <f>VLOOKUP($A72,'[1]Init $$'!$B$3:$CG$118,4,FALSE)</f>
        <v>281</v>
      </c>
      <c r="F72">
        <f>VLOOKUP($A72,'[1]Init $$'!$B$3:$CG$118,6,FALSE)</f>
        <v>281</v>
      </c>
      <c r="G72">
        <f>VLOOKUP($A72,'[2]$$xSchpostCouncilxLevel'!$A$4:$EW$120,153,FALSE)</f>
        <v>300</v>
      </c>
      <c r="H72" s="50">
        <f t="shared" si="5"/>
        <v>-19</v>
      </c>
      <c r="I72" s="4">
        <f>VLOOKUP($A72,'[1]Init $$'!$B$3:$CG$118,8,FALSE)</f>
        <v>0.61921708185053381</v>
      </c>
      <c r="J72">
        <f>VLOOKUP($A72,'[1]Init $$'!$B$3:$CG$118,7,FALSE)</f>
        <v>174</v>
      </c>
      <c r="K72" s="43">
        <f>'Est gen ed 23 $$'!K72/'Est gen ed 23 pos'!K$123</f>
        <v>0.5</v>
      </c>
      <c r="L72" s="43">
        <f>'Est gen ed 23 $$'!L72/'Est gen ed 23 pos'!L$123</f>
        <v>1</v>
      </c>
      <c r="M72" s="43">
        <f>'Est gen ed 23 $$'!M72/'Est gen ed 23 pos'!M$123</f>
        <v>0</v>
      </c>
      <c r="N72" s="43">
        <f>'Est gen ed 23 $$'!N72/'Est gen ed 23 pos'!N$123</f>
        <v>1</v>
      </c>
      <c r="O72" s="34">
        <f>VLOOKUP($A72,'[1]Init $$'!$B$3:$CG$118,15,FALSE)</f>
        <v>7670.45</v>
      </c>
      <c r="P72" s="43">
        <f>'Est gen ed 23 $$'!P72/'Est gen ed 23 pos'!P$123</f>
        <v>1</v>
      </c>
      <c r="Q72" s="43">
        <f>'Est gen ed 23 $$'!Q72/'Est gen ed 23 pos'!Q$123</f>
        <v>1</v>
      </c>
      <c r="R72" s="43">
        <f>'Est gen ed 23 $$'!R72/'Est gen ed 23 pos'!R$123</f>
        <v>2.0000001953611113</v>
      </c>
      <c r="S72" s="43">
        <f>'Est gen ed 23 $$'!S72/'Est gen ed 23 pos'!S$123</f>
        <v>1</v>
      </c>
      <c r="T72" s="43">
        <f>'Est gen ed 23 $$'!T72/'Est gen ed 23 pos'!T$123</f>
        <v>0</v>
      </c>
      <c r="U72" s="43">
        <f>'Est gen ed 23 $$'!U72/'Est gen ed 23 pos'!U$123</f>
        <v>0</v>
      </c>
      <c r="V72" s="43">
        <f>'Est gen ed 23 $$'!V72/'Est gen ed 23 pos'!V$123</f>
        <v>0</v>
      </c>
      <c r="W72" s="43">
        <f>'Est gen ed 23 $$'!W72/'Est gen ed 23 pos'!W$123</f>
        <v>0</v>
      </c>
      <c r="X72" s="34">
        <f>VLOOKUP($A72,'[1]Init $$'!$B$3:$CG$118,24,FALSE)</f>
        <v>0</v>
      </c>
      <c r="Y72" s="34">
        <f>VLOOKUP($A72,'[1]Init $$'!$B$3:$CG$118,25,FALSE)</f>
        <v>0</v>
      </c>
      <c r="Z72" s="34">
        <f>VLOOKUP($A72,'[1]Init $$'!$B$3:$CG$118,26,FALSE)</f>
        <v>0</v>
      </c>
      <c r="AA72" s="34">
        <f>VLOOKUP($A72,'[1]Init $$'!$B$3:$CG$118,27,FALSE)</f>
        <v>0</v>
      </c>
      <c r="AB72" s="43">
        <f>'Est gen ed 23 $$'!AB72/'Est gen ed 23 pos'!AB$123</f>
        <v>0</v>
      </c>
      <c r="AC72" s="43">
        <f>'Est gen ed 23 $$'!AC72/'Est gen ed 23 pos'!AC$123</f>
        <v>0</v>
      </c>
      <c r="AD72" s="43">
        <f>'Est gen ed 23 $$'!AD72/'Est gen ed 23 pos'!AD$123</f>
        <v>0</v>
      </c>
      <c r="AE72" s="43">
        <f>'Est gen ed 23 $$'!AE72/'Est gen ed 23 pos'!AE$123</f>
        <v>0</v>
      </c>
      <c r="AF72" s="34">
        <f>VLOOKUP($A72,'[1]Init $$'!$B$3:$CG$118,32,FALSE)</f>
        <v>1678413</v>
      </c>
      <c r="AG72" s="34">
        <f>VLOOKUP($A72,'[1]Init $$'!$B$3:$CG$118,33,FALSE)</f>
        <v>96102</v>
      </c>
      <c r="AH72" s="43">
        <f>'Est gen ed 23 $$'!AH72/'Est gen ed 23 pos'!AH$123</f>
        <v>1</v>
      </c>
      <c r="AI72" s="43">
        <f>'Est gen ed 23 $$'!AI72/'Est gen ed 23 pos'!AI$123</f>
        <v>2.9999999121515879</v>
      </c>
      <c r="AJ72" s="43">
        <f>'Est gen ed 23 $$'!AJ72/'Est gen ed 23 pos'!AJ$123</f>
        <v>4.9999998243031758</v>
      </c>
      <c r="AK72" s="43">
        <f>'Est gen ed 23 $$'!AK72/'Est gen ed 23 pos'!AK$123</f>
        <v>2.9999999121515879</v>
      </c>
      <c r="AL72" s="43">
        <f>'Est gen ed 23 $$'!AL72/'Est gen ed 23 pos'!AL$123</f>
        <v>2.9999997446793083</v>
      </c>
      <c r="AM72" s="43">
        <f>'Est gen ed 23 $$'!AM72/'Est gen ed 23 pos'!AM$123</f>
        <v>0</v>
      </c>
      <c r="AN72" s="43">
        <f>'Est gen ed 23 $$'!AN72/'Est gen ed 23 pos'!AN$123</f>
        <v>1.0000010424267696</v>
      </c>
      <c r="AO72" s="43">
        <f>'Est gen ed 23 $$'!AO72/'Est gen ed 23 pos'!AO$123</f>
        <v>0</v>
      </c>
      <c r="AP72" s="34">
        <f>VLOOKUP($A72,'[1]Init $$'!$B$3:$CG$118,42,FALSE)</f>
        <v>157687.20000000001</v>
      </c>
      <c r="AQ72" s="34">
        <f>VLOOKUP($A72,'[1]Init $$'!$B$3:$CG$118,43,FALSE)</f>
        <v>0</v>
      </c>
      <c r="AR72" s="43">
        <f>'Est gen ed 23 $$'!AR72/'Est gen ed 23 pos'!AR$123</f>
        <v>1</v>
      </c>
      <c r="AS72" s="43">
        <f>'Est gen ed 23 $$'!AS72/'Est gen ed 23 pos'!AS$123</f>
        <v>0</v>
      </c>
      <c r="AT72" s="43">
        <f>'Est gen ed 23 $$'!AT72/'Est gen ed 23 pos'!AT$123</f>
        <v>0</v>
      </c>
      <c r="AU72" s="34">
        <f>VLOOKUP($A72,'[1]Init $$'!$B$3:$CG$118,47,FALSE)</f>
        <v>23294.7</v>
      </c>
      <c r="AV72" s="34">
        <f>VLOOKUP($A72,'[1]Init $$'!$B$3:$CG$118,48,FALSE)</f>
        <v>0</v>
      </c>
      <c r="AW72" s="34">
        <f>VLOOKUP($A72,'[1]Init $$'!$B$3:$CG$118,49,FALSE)</f>
        <v>0</v>
      </c>
      <c r="AX72" s="34">
        <f>VLOOKUP($A72,'[1]Init $$'!$B$3:$CG$118,50,FALSE)</f>
        <v>0</v>
      </c>
      <c r="AY72" s="34">
        <f>VLOOKUP($A72,'[1]Init $$'!$B$3:$CG$118,51,FALSE)</f>
        <v>0</v>
      </c>
      <c r="AZ72" s="34">
        <f>VLOOKUP($A72,'[1]Init $$'!$B$3:$CG$118,52,FALSE)</f>
        <v>0</v>
      </c>
      <c r="BA72" s="34">
        <f>VLOOKUP($A72,'[1]Init $$'!$B$3:$CG$118,53,FALSE)</f>
        <v>0</v>
      </c>
      <c r="BB72" s="34">
        <f>VLOOKUP($A72,'[1]Init $$'!$B$3:$CG$118,54,FALSE)</f>
        <v>0</v>
      </c>
      <c r="BC72" s="34">
        <f>VLOOKUP($A72,'[1]Init $$'!$B$3:$CG$118,55,FALSE)</f>
        <v>137676.49</v>
      </c>
      <c r="BD72" s="34">
        <f>VLOOKUP($A72,'[1]Init $$'!$B$3:$CG$118,56,FALSE)</f>
        <v>2217.63</v>
      </c>
      <c r="BE72" s="34">
        <f>VLOOKUP($A72,'[1]Init $$'!$B$3:$CG$118,57,FALSE)</f>
        <v>0</v>
      </c>
      <c r="BF72" s="43">
        <f>'Est gen ed 23 $$'!BF72/'Est gen ed 23 pos'!BF$123</f>
        <v>0</v>
      </c>
      <c r="BG72" s="43">
        <f>'Est gen ed 23 $$'!BG72/'Est gen ed 23 pos'!BG$123</f>
        <v>0</v>
      </c>
      <c r="BH72" s="34">
        <f>VLOOKUP($A72,'[1]Init $$'!$B$3:$CG$118,60,FALSE)</f>
        <v>0</v>
      </c>
      <c r="BI72" s="34">
        <f>VLOOKUP($A72,'[1]Init $$'!$B$3:$CG$118,61,FALSE)</f>
        <v>0</v>
      </c>
      <c r="BJ72" s="34">
        <f>VLOOKUP($A72,'[1]Init $$'!$B$3:$CG$118,62,FALSE)</f>
        <v>0</v>
      </c>
      <c r="BK72" s="43">
        <f>'Est gen ed 23 $$'!BK72/'Est gen ed 23 pos'!BK$123</f>
        <v>0</v>
      </c>
      <c r="BL72" s="34">
        <f>VLOOKUP($A72,'[1]Init $$'!$B$3:$CG$118,64,FALSE)</f>
        <v>0</v>
      </c>
      <c r="BM72" s="43">
        <f>'Est gen ed 23 $$'!BM72/'Est gen ed 23 pos'!BM$123</f>
        <v>0</v>
      </c>
      <c r="BN72" s="34">
        <f>VLOOKUP($A72,'[1]Init $$'!$B$3:$CG$118,66,FALSE)</f>
        <v>0</v>
      </c>
      <c r="BO72" s="43">
        <f>'Est gen ed 23 $$'!BO72/'Est gen ed 23 pos'!BO$123</f>
        <v>0</v>
      </c>
      <c r="BP72" s="34">
        <f>VLOOKUP($A72,'[1]Init $$'!$B$3:$CG$118,68,FALSE)</f>
        <v>0</v>
      </c>
      <c r="BQ72" s="43">
        <f>'Est gen ed 23 $$'!BQ72/'Est gen ed 23 pos'!BQ$123</f>
        <v>0</v>
      </c>
      <c r="BR72" s="43">
        <f>'Est gen ed 23 $$'!BR72/'Est gen ed 23 pos'!BR$123</f>
        <v>0</v>
      </c>
      <c r="BS72" s="34">
        <f>VLOOKUP($A72,'[1]Init $$'!$B$3:$CG$118,71,FALSE)</f>
        <v>0</v>
      </c>
      <c r="BT72" s="34">
        <f>VLOOKUP($A72,'[1]Init $$'!$B$3:$CG$118,72,FALSE)</f>
        <v>0</v>
      </c>
      <c r="BU72" s="34">
        <f>VLOOKUP($A72,'[1]Init $$'!$B$3:$CG$118,73,FALSE)</f>
        <v>0</v>
      </c>
      <c r="BV72" s="34">
        <f>VLOOKUP($A72,'[1]Init $$'!$B$3:$CG$118,74,FALSE)</f>
        <v>0</v>
      </c>
      <c r="BW72" s="34">
        <f>VLOOKUP($A72,'[1]Init $$'!$B$3:$CG$118,75,FALSE)</f>
        <v>0</v>
      </c>
      <c r="BX72" s="43">
        <f>'Est gen ed 23 $$'!BX72/'Est gen ed 23 pos'!BX$123</f>
        <v>0</v>
      </c>
      <c r="BY72" s="43">
        <f>'Est gen ed 23 $$'!BY72/'Est gen ed 23 pos'!BY$123</f>
        <v>0</v>
      </c>
      <c r="BZ72" s="43">
        <f>'Est gen ed 23 $$'!BZ72/'Est gen ed 23 pos'!BZ$123</f>
        <v>0</v>
      </c>
      <c r="CA72" s="34">
        <f>VLOOKUP($A72,'[1]Init $$'!$B$3:$CG$118,79,FALSE)</f>
        <v>466755.7</v>
      </c>
      <c r="CB72" s="34">
        <f>VLOOKUP($A72,'[1]Init $$'!$B$3:$CG$118,80,FALSE)</f>
        <v>73587.360000000001</v>
      </c>
      <c r="CC72" s="34">
        <f>VLOOKUP($A72,'[1]Init $$'!$B$3:$CG$118,81,FALSE)</f>
        <v>104130.26</v>
      </c>
      <c r="CD72" s="34">
        <f>VLOOKUP($A72,'[1]Init $$'!$B$3:$CG$118,82,FALSE)</f>
        <v>0</v>
      </c>
      <c r="CE72" s="34">
        <f>VLOOKUP($A72,'[1]Init $$'!$B$3:$CG$118,83,FALSE)</f>
        <v>0</v>
      </c>
      <c r="CF72" s="34">
        <f>VLOOKUP($A72,'[1]Init $$'!$B$3:$CG$118,84,FALSE)</f>
        <v>0</v>
      </c>
      <c r="CJ72" s="28">
        <f t="shared" si="6"/>
        <v>2747559.2900006305</v>
      </c>
      <c r="CK72" s="43">
        <f>'Est gen ed 23 $$'!CK72/'Est gen ed 23 pos'!CK$123</f>
        <v>0.99999604682144683</v>
      </c>
      <c r="CL72" s="43">
        <f>'Est gen ed 23 $$'!CL72/'Est gen ed 23 pos'!CL$123</f>
        <v>0.93666666666666665</v>
      </c>
      <c r="CM72" s="43">
        <f>'Est gen ed 23 $$'!CM72/'Est gen ed 23 pos'!CM$123</f>
        <v>0.5</v>
      </c>
      <c r="CN72" s="43">
        <f>'Est gen ed 23 $$'!CN72/'Est gen ed 23 pos'!CN$123</f>
        <v>0</v>
      </c>
      <c r="CO72" s="43">
        <f>'Est gen ed 23 $$'!CO72/'Est gen ed 23 pos'!CO$123</f>
        <v>0</v>
      </c>
      <c r="CP72" s="43">
        <f>'Est gen ed 23 $$'!CP72/'Est gen ed 23 pos'!CP$123</f>
        <v>0</v>
      </c>
      <c r="CQ72" s="43">
        <f>'Est gen ed 23 $$'!CQ72/'Est gen ed 23 pos'!CQ$123</f>
        <v>0</v>
      </c>
      <c r="CR72" s="43">
        <f>'Est gen ed 23 $$'!CR72/'Est gen ed 23 pos'!CR$123</f>
        <v>0</v>
      </c>
      <c r="CS72" s="43">
        <f>'Est gen ed 23 $$'!CS72/'Est gen ed 23 pos'!CS$123</f>
        <v>0</v>
      </c>
      <c r="CT72" s="43">
        <f>'Est gen ed 23 $$'!CT72/'Est gen ed 23 pos'!CT$123</f>
        <v>0</v>
      </c>
      <c r="CU72" s="43">
        <f>'Est gen ed 23 $$'!CU72/'Est gen ed 23 pos'!CU$123</f>
        <v>15</v>
      </c>
      <c r="CZ72" s="43">
        <f>'Est gen ed 23 $$'!CW72/'Est gen ed 23 pos'!CZ$123</f>
        <v>0</v>
      </c>
      <c r="DB72" s="28">
        <f t="shared" si="7"/>
        <v>1678413</v>
      </c>
      <c r="DC72" s="28">
        <f t="shared" si="4"/>
        <v>104130.26</v>
      </c>
      <c r="DK72" s="34"/>
      <c r="DL72" s="34"/>
    </row>
    <row r="73" spans="1:116" x14ac:dyDescent="0.2">
      <c r="A73">
        <v>458</v>
      </c>
      <c r="B73" t="s">
        <v>56</v>
      </c>
      <c r="C73" t="s">
        <v>1</v>
      </c>
      <c r="D73">
        <v>5</v>
      </c>
      <c r="E73">
        <f>VLOOKUP($A73,'[1]Init $$'!$B$3:$CG$118,4,FALSE)</f>
        <v>702</v>
      </c>
      <c r="F73">
        <f>VLOOKUP($A73,'[1]Init $$'!$B$3:$CG$118,6,FALSE)</f>
        <v>702</v>
      </c>
      <c r="G73">
        <f>VLOOKUP($A73,'[2]$$xSchpostCouncilxLevel'!$A$4:$EW$120,153,FALSE)</f>
        <v>696</v>
      </c>
      <c r="H73" s="50">
        <f t="shared" si="5"/>
        <v>6</v>
      </c>
      <c r="I73" s="4">
        <f>VLOOKUP($A73,'[1]Init $$'!$B$3:$CG$118,8,FALSE)</f>
        <v>0.35612535612535612</v>
      </c>
      <c r="J73">
        <f>VLOOKUP($A73,'[1]Init $$'!$B$3:$CG$118,7,FALSE)</f>
        <v>250</v>
      </c>
      <c r="K73" s="43">
        <f>'Est gen ed 23 $$'!K73/'Est gen ed 23 pos'!K$123</f>
        <v>0.5</v>
      </c>
      <c r="L73" s="43">
        <f>'Est gen ed 23 $$'!L73/'Est gen ed 23 pos'!L$123</f>
        <v>0</v>
      </c>
      <c r="M73" s="43">
        <f>'Est gen ed 23 $$'!M73/'Est gen ed 23 pos'!M$123</f>
        <v>2.9999983648043602</v>
      </c>
      <c r="N73" s="43">
        <f>'Est gen ed 23 $$'!N73/'Est gen ed 23 pos'!N$123</f>
        <v>1</v>
      </c>
      <c r="O73" s="34">
        <f>VLOOKUP($A73,'[1]Init $$'!$B$3:$CG$118,15,FALSE)</f>
        <v>27090.54</v>
      </c>
      <c r="P73" s="43">
        <f>'Est gen ed 23 $$'!P73/'Est gen ed 23 pos'!P$123</f>
        <v>1</v>
      </c>
      <c r="Q73" s="43">
        <f>'Est gen ed 23 $$'!Q73/'Est gen ed 23 pos'!Q$123</f>
        <v>1</v>
      </c>
      <c r="R73" s="43">
        <f>'Est gen ed 23 $$'!R73/'Est gen ed 23 pos'!R$123</f>
        <v>9.0000007814444452</v>
      </c>
      <c r="S73" s="43">
        <f>'Est gen ed 23 $$'!S73/'Est gen ed 23 pos'!S$123</f>
        <v>1</v>
      </c>
      <c r="T73" s="43">
        <f>'Est gen ed 23 $$'!T73/'Est gen ed 23 pos'!T$123</f>
        <v>0</v>
      </c>
      <c r="U73" s="43">
        <f>'Est gen ed 23 $$'!U73/'Est gen ed 23 pos'!U$123</f>
        <v>0</v>
      </c>
      <c r="V73" s="43">
        <f>'Est gen ed 23 $$'!V73/'Est gen ed 23 pos'!V$123</f>
        <v>0</v>
      </c>
      <c r="W73" s="43">
        <f>'Est gen ed 23 $$'!W73/'Est gen ed 23 pos'!W$123</f>
        <v>0</v>
      </c>
      <c r="X73" s="34">
        <f>VLOOKUP($A73,'[1]Init $$'!$B$3:$CG$118,24,FALSE)</f>
        <v>0</v>
      </c>
      <c r="Y73" s="34">
        <f>VLOOKUP($A73,'[1]Init $$'!$B$3:$CG$118,25,FALSE)</f>
        <v>0</v>
      </c>
      <c r="Z73" s="34">
        <f>VLOOKUP($A73,'[1]Init $$'!$B$3:$CG$118,26,FALSE)</f>
        <v>0</v>
      </c>
      <c r="AA73" s="34">
        <f>VLOOKUP($A73,'[1]Init $$'!$B$3:$CG$118,27,FALSE)</f>
        <v>0</v>
      </c>
      <c r="AB73" s="43">
        <f>'Est gen ed 23 $$'!AB73/'Est gen ed 23 pos'!AB$123</f>
        <v>8.9999997364547628</v>
      </c>
      <c r="AC73" s="43">
        <f>'Est gen ed 23 $$'!AC73/'Est gen ed 23 pos'!AC$123</f>
        <v>0</v>
      </c>
      <c r="AD73" s="43">
        <f>'Est gen ed 23 $$'!AD73/'Est gen ed 23 pos'!AD$123</f>
        <v>1</v>
      </c>
      <c r="AE73" s="43">
        <f>'Est gen ed 23 $$'!AE73/'Est gen ed 23 pos'!AE$123</f>
        <v>1</v>
      </c>
      <c r="AF73" s="34">
        <f>VLOOKUP($A73,'[1]Init $$'!$B$3:$CG$118,32,FALSE)</f>
        <v>4193046</v>
      </c>
      <c r="AG73" s="34">
        <f>VLOOKUP($A73,'[1]Init $$'!$B$3:$CG$118,33,FALSE)</f>
        <v>416286</v>
      </c>
      <c r="AH73" s="43">
        <f>'Est gen ed 23 $$'!AH73/'Est gen ed 23 pos'!AH$123</f>
        <v>1</v>
      </c>
      <c r="AI73" s="43">
        <f>'Est gen ed 23 $$'!AI73/'Est gen ed 23 pos'!AI$123</f>
        <v>1.9999999121515879</v>
      </c>
      <c r="AJ73" s="43">
        <f>'Est gen ed 23 $$'!AJ73/'Est gen ed 23 pos'!AJ$123</f>
        <v>1.9999999121515879</v>
      </c>
      <c r="AK73" s="43">
        <f>'Est gen ed 23 $$'!AK73/'Est gen ed 23 pos'!AK$123</f>
        <v>0</v>
      </c>
      <c r="AL73" s="43">
        <f>'Est gen ed 23 $$'!AL73/'Est gen ed 23 pos'!AL$123</f>
        <v>0</v>
      </c>
      <c r="AM73" s="43">
        <f>'Est gen ed 23 $$'!AM73/'Est gen ed 23 pos'!AM$123</f>
        <v>0</v>
      </c>
      <c r="AN73" s="43">
        <f>'Est gen ed 23 $$'!AN73/'Est gen ed 23 pos'!AN$123</f>
        <v>0</v>
      </c>
      <c r="AO73" s="43">
        <f>'Est gen ed 23 $$'!AO73/'Est gen ed 23 pos'!AO$123</f>
        <v>0</v>
      </c>
      <c r="AP73" s="34">
        <f>VLOOKUP($A73,'[1]Init $$'!$B$3:$CG$118,42,FALSE)</f>
        <v>28670.400000000001</v>
      </c>
      <c r="AQ73" s="34">
        <f>VLOOKUP($A73,'[1]Init $$'!$B$3:$CG$118,43,FALSE)</f>
        <v>0</v>
      </c>
      <c r="AR73" s="43">
        <f>'Est gen ed 23 $$'!AR73/'Est gen ed 23 pos'!AR$123</f>
        <v>1</v>
      </c>
      <c r="AS73" s="43">
        <f>'Est gen ed 23 $$'!AS73/'Est gen ed 23 pos'!AS$123</f>
        <v>0</v>
      </c>
      <c r="AT73" s="43">
        <f>'Est gen ed 23 $$'!AT73/'Est gen ed 23 pos'!AT$123</f>
        <v>0</v>
      </c>
      <c r="AU73" s="34">
        <f>VLOOKUP($A73,'[1]Init $$'!$B$3:$CG$118,47,FALSE)</f>
        <v>19710.900000000001</v>
      </c>
      <c r="AV73" s="34">
        <f>VLOOKUP($A73,'[1]Init $$'!$B$3:$CG$118,48,FALSE)</f>
        <v>0</v>
      </c>
      <c r="AW73" s="34">
        <f>VLOOKUP($A73,'[1]Init $$'!$B$3:$CG$118,49,FALSE)</f>
        <v>0</v>
      </c>
      <c r="AX73" s="34">
        <f>VLOOKUP($A73,'[1]Init $$'!$B$3:$CG$118,50,FALSE)</f>
        <v>0</v>
      </c>
      <c r="AY73" s="34">
        <f>VLOOKUP($A73,'[1]Init $$'!$B$3:$CG$118,51,FALSE)</f>
        <v>0</v>
      </c>
      <c r="AZ73" s="34">
        <f>VLOOKUP($A73,'[1]Init $$'!$B$3:$CG$118,52,FALSE)</f>
        <v>0</v>
      </c>
      <c r="BA73" s="34">
        <f>VLOOKUP($A73,'[1]Init $$'!$B$3:$CG$118,53,FALSE)</f>
        <v>0</v>
      </c>
      <c r="BB73" s="34">
        <f>VLOOKUP($A73,'[1]Init $$'!$B$3:$CG$118,54,FALSE)</f>
        <v>0</v>
      </c>
      <c r="BC73" s="34">
        <f>VLOOKUP($A73,'[1]Init $$'!$B$3:$CG$118,55,FALSE)</f>
        <v>153262.51</v>
      </c>
      <c r="BD73" s="34">
        <f>VLOOKUP($A73,'[1]Init $$'!$B$3:$CG$118,56,FALSE)</f>
        <v>2468.6799999999998</v>
      </c>
      <c r="BE73" s="34">
        <f>VLOOKUP($A73,'[1]Init $$'!$B$3:$CG$118,57,FALSE)</f>
        <v>0</v>
      </c>
      <c r="BF73" s="43">
        <f>'Est gen ed 23 $$'!BF73/'Est gen ed 23 pos'!BF$123</f>
        <v>0</v>
      </c>
      <c r="BG73" s="43">
        <f>'Est gen ed 23 $$'!BG73/'Est gen ed 23 pos'!BG$123</f>
        <v>0</v>
      </c>
      <c r="BH73" s="34">
        <f>VLOOKUP($A73,'[1]Init $$'!$B$3:$CG$118,60,FALSE)</f>
        <v>0</v>
      </c>
      <c r="BI73" s="34">
        <f>VLOOKUP($A73,'[1]Init $$'!$B$3:$CG$118,61,FALSE)</f>
        <v>0</v>
      </c>
      <c r="BJ73" s="34">
        <f>VLOOKUP($A73,'[1]Init $$'!$B$3:$CG$118,62,FALSE)</f>
        <v>0</v>
      </c>
      <c r="BK73" s="43">
        <f>'Est gen ed 23 $$'!BK73/'Est gen ed 23 pos'!BK$123</f>
        <v>0</v>
      </c>
      <c r="BL73" s="34">
        <f>VLOOKUP($A73,'[1]Init $$'!$B$3:$CG$118,64,FALSE)</f>
        <v>0</v>
      </c>
      <c r="BM73" s="43">
        <f>'Est gen ed 23 $$'!BM73/'Est gen ed 23 pos'!BM$123</f>
        <v>0</v>
      </c>
      <c r="BN73" s="34">
        <f>VLOOKUP($A73,'[1]Init $$'!$B$3:$CG$118,66,FALSE)</f>
        <v>0</v>
      </c>
      <c r="BO73" s="43">
        <f>'Est gen ed 23 $$'!BO73/'Est gen ed 23 pos'!BO$123</f>
        <v>0</v>
      </c>
      <c r="BP73" s="34">
        <f>VLOOKUP($A73,'[1]Init $$'!$B$3:$CG$118,68,FALSE)</f>
        <v>0</v>
      </c>
      <c r="BQ73" s="43">
        <f>'Est gen ed 23 $$'!BQ73/'Est gen ed 23 pos'!BQ$123</f>
        <v>0</v>
      </c>
      <c r="BR73" s="43">
        <f>'Est gen ed 23 $$'!BR73/'Est gen ed 23 pos'!BR$123</f>
        <v>0</v>
      </c>
      <c r="BS73" s="34">
        <f>VLOOKUP($A73,'[1]Init $$'!$B$3:$CG$118,71,FALSE)</f>
        <v>0</v>
      </c>
      <c r="BT73" s="34">
        <f>VLOOKUP($A73,'[1]Init $$'!$B$3:$CG$118,72,FALSE)</f>
        <v>0</v>
      </c>
      <c r="BU73" s="34">
        <f>VLOOKUP($A73,'[1]Init $$'!$B$3:$CG$118,73,FALSE)</f>
        <v>0</v>
      </c>
      <c r="BV73" s="34">
        <f>VLOOKUP($A73,'[1]Init $$'!$B$3:$CG$118,74,FALSE)</f>
        <v>656092.98</v>
      </c>
      <c r="BW73" s="34">
        <f>VLOOKUP($A73,'[1]Init $$'!$B$3:$CG$118,75,FALSE)</f>
        <v>0</v>
      </c>
      <c r="BX73" s="43">
        <f>'Est gen ed 23 $$'!BX73/'Est gen ed 23 pos'!BX$123</f>
        <v>3.0000123074426215</v>
      </c>
      <c r="BY73" s="43">
        <f>'Est gen ed 23 $$'!BY73/'Est gen ed 23 pos'!BY$123</f>
        <v>0</v>
      </c>
      <c r="BZ73" s="43">
        <f>'Est gen ed 23 $$'!BZ73/'Est gen ed 23 pos'!BZ$123</f>
        <v>1</v>
      </c>
      <c r="CA73" s="34">
        <f>VLOOKUP($A73,'[1]Init $$'!$B$3:$CG$118,79,FALSE)</f>
        <v>706169.18</v>
      </c>
      <c r="CB73" s="34">
        <f>VLOOKUP($A73,'[1]Init $$'!$B$3:$CG$118,80,FALSE)</f>
        <v>0</v>
      </c>
      <c r="CC73" s="34">
        <f>VLOOKUP($A73,'[1]Init $$'!$B$3:$CG$118,81,FALSE)</f>
        <v>0</v>
      </c>
      <c r="CD73" s="34">
        <f>VLOOKUP($A73,'[1]Init $$'!$B$3:$CG$118,82,FALSE)</f>
        <v>0</v>
      </c>
      <c r="CE73" s="34">
        <f>VLOOKUP($A73,'[1]Init $$'!$B$3:$CG$118,83,FALSE)</f>
        <v>0</v>
      </c>
      <c r="CF73" s="34">
        <f>VLOOKUP($A73,'[1]Init $$'!$B$3:$CG$118,84,FALSE)</f>
        <v>0</v>
      </c>
      <c r="CJ73" s="28">
        <f t="shared" si="6"/>
        <v>6202834.6900110142</v>
      </c>
      <c r="CK73" s="43">
        <f>'Est gen ed 23 $$'!CK73/'Est gen ed 23 pos'!CK$123</f>
        <v>0.99999604682144683</v>
      </c>
      <c r="CL73" s="43">
        <f>'Est gen ed 23 $$'!CL73/'Est gen ed 23 pos'!CL$123</f>
        <v>2.34</v>
      </c>
      <c r="CM73" s="43">
        <f>'Est gen ed 23 $$'!CM73/'Est gen ed 23 pos'!CM$123</f>
        <v>1</v>
      </c>
      <c r="CN73" s="43">
        <f>'Est gen ed 23 $$'!CN73/'Est gen ed 23 pos'!CN$123</f>
        <v>0.56980056980056981</v>
      </c>
      <c r="CO73" s="43">
        <f>'Est gen ed 23 $$'!CO73/'Est gen ed 23 pos'!CO$123</f>
        <v>1</v>
      </c>
      <c r="CP73" s="43">
        <f>'Est gen ed 23 $$'!CP73/'Est gen ed 23 pos'!CP$123</f>
        <v>1</v>
      </c>
      <c r="CQ73" s="43">
        <f>'Est gen ed 23 $$'!CQ73/'Est gen ed 23 pos'!CQ$123</f>
        <v>0</v>
      </c>
      <c r="CR73" s="43">
        <f>'Est gen ed 23 $$'!CR73/'Est gen ed 23 pos'!CR$123</f>
        <v>0</v>
      </c>
      <c r="CS73" s="43">
        <f>'Est gen ed 23 $$'!CS73/'Est gen ed 23 pos'!CS$123</f>
        <v>0</v>
      </c>
      <c r="CT73" s="43">
        <f>'Est gen ed 23 $$'!CT73/'Est gen ed 23 pos'!CT$123</f>
        <v>0</v>
      </c>
      <c r="CU73" s="43">
        <f>'Est gen ed 23 $$'!CU73/'Est gen ed 23 pos'!CU$123</f>
        <v>41.999999999999993</v>
      </c>
      <c r="CZ73" s="43">
        <f>'Est gen ed 23 $$'!CW73/'Est gen ed 23 pos'!CZ$123</f>
        <v>0.9999965685612755</v>
      </c>
      <c r="DB73" s="28">
        <f t="shared" si="7"/>
        <v>4849138.9800000004</v>
      </c>
      <c r="DC73" s="28">
        <f t="shared" si="4"/>
        <v>0</v>
      </c>
      <c r="DK73" s="34"/>
      <c r="DL73" s="34"/>
    </row>
    <row r="74" spans="1:116" x14ac:dyDescent="0.2">
      <c r="A74">
        <v>1165</v>
      </c>
      <c r="B74" t="s">
        <v>55</v>
      </c>
      <c r="C74" t="s">
        <v>7</v>
      </c>
      <c r="D74">
        <v>4</v>
      </c>
      <c r="E74">
        <f>VLOOKUP($A74,'[1]Init $$'!$B$3:$CG$118,4,FALSE)</f>
        <v>66</v>
      </c>
      <c r="F74">
        <f>VLOOKUP($A74,'[1]Init $$'!$B$3:$CG$118,6,FALSE)</f>
        <v>0</v>
      </c>
      <c r="G74">
        <f>VLOOKUP($A74,'[2]$$xSchpostCouncilxLevel'!$A$4:$EW$120,153,FALSE)</f>
        <v>0</v>
      </c>
      <c r="H74" s="50">
        <f t="shared" si="5"/>
        <v>0</v>
      </c>
      <c r="I74" s="4">
        <f>VLOOKUP($A74,'[1]Init $$'!$B$3:$CG$118,8,FALSE)</f>
        <v>0.27272727272727271</v>
      </c>
      <c r="J74">
        <f>VLOOKUP($A74,'[1]Init $$'!$B$3:$CG$118,7,FALSE)</f>
        <v>18</v>
      </c>
      <c r="K74" s="43">
        <f>'Est gen ed 23 $$'!K74/'Est gen ed 23 pos'!K$123</f>
        <v>0.5</v>
      </c>
      <c r="L74" s="43">
        <f>'Est gen ed 23 $$'!L74/'Est gen ed 23 pos'!L$123</f>
        <v>0</v>
      </c>
      <c r="M74" s="43">
        <f>'Est gen ed 23 $$'!M74/'Est gen ed 23 pos'!M$123</f>
        <v>0</v>
      </c>
      <c r="N74" s="43">
        <f>'Est gen ed 23 $$'!N74/'Est gen ed 23 pos'!N$123</f>
        <v>1</v>
      </c>
      <c r="O74" s="34">
        <f>VLOOKUP($A74,'[1]Init $$'!$B$3:$CG$118,15,FALSE)</f>
        <v>3898.9</v>
      </c>
      <c r="P74" s="43">
        <f>'Est gen ed 23 $$'!P74/'Est gen ed 23 pos'!P$123</f>
        <v>1</v>
      </c>
      <c r="Q74" s="43">
        <f>'Est gen ed 23 $$'!Q74/'Est gen ed 23 pos'!Q$123</f>
        <v>1</v>
      </c>
      <c r="R74" s="43">
        <f>'Est gen ed 23 $$'!R74/'Est gen ed 23 pos'!R$123</f>
        <v>1</v>
      </c>
      <c r="S74" s="43">
        <f>'Est gen ed 23 $$'!S74/'Est gen ed 23 pos'!S$123</f>
        <v>1</v>
      </c>
      <c r="T74" s="43">
        <f>'Est gen ed 23 $$'!T74/'Est gen ed 23 pos'!T$123</f>
        <v>1.9999999121515879</v>
      </c>
      <c r="U74" s="43">
        <f>'Est gen ed 23 $$'!U74/'Est gen ed 23 pos'!U$123</f>
        <v>0</v>
      </c>
      <c r="V74" s="43">
        <f>'Est gen ed 23 $$'!V74/'Est gen ed 23 pos'!V$123</f>
        <v>1.9999999121515879</v>
      </c>
      <c r="W74" s="43">
        <f>'Est gen ed 23 $$'!W74/'Est gen ed 23 pos'!W$123</f>
        <v>3.9999997446793079</v>
      </c>
      <c r="X74" s="34">
        <f>VLOOKUP($A74,'[1]Init $$'!$B$3:$CG$118,24,FALSE)</f>
        <v>118265.4</v>
      </c>
      <c r="Y74" s="34">
        <f>VLOOKUP($A74,'[1]Init $$'!$B$3:$CG$118,25,FALSE)</f>
        <v>0</v>
      </c>
      <c r="Z74" s="34">
        <f>VLOOKUP($A74,'[1]Init $$'!$B$3:$CG$118,26,FALSE)</f>
        <v>335085.3</v>
      </c>
      <c r="AA74" s="34">
        <f>VLOOKUP($A74,'[1]Init $$'!$B$3:$CG$118,27,FALSE)</f>
        <v>0</v>
      </c>
      <c r="AB74" s="43">
        <f>'Est gen ed 23 $$'!AB74/'Est gen ed 23 pos'!AB$123</f>
        <v>0</v>
      </c>
      <c r="AC74" s="43">
        <f>'Est gen ed 23 $$'!AC74/'Est gen ed 23 pos'!AC$123</f>
        <v>0</v>
      </c>
      <c r="AD74" s="43">
        <f>'Est gen ed 23 $$'!AD74/'Est gen ed 23 pos'!AD$123</f>
        <v>0</v>
      </c>
      <c r="AE74" s="43">
        <f>'Est gen ed 23 $$'!AE74/'Est gen ed 23 pos'!AE$123</f>
        <v>0</v>
      </c>
      <c r="AF74" s="34">
        <f>VLOOKUP($A74,'[1]Init $$'!$B$3:$CG$118,32,FALSE)</f>
        <v>0</v>
      </c>
      <c r="AG74" s="34">
        <f>VLOOKUP($A74,'[1]Init $$'!$B$3:$CG$118,33,FALSE)</f>
        <v>21450</v>
      </c>
      <c r="AH74" s="43">
        <f>'Est gen ed 23 $$'!AH74/'Est gen ed 23 pos'!AH$123</f>
        <v>1</v>
      </c>
      <c r="AI74" s="43">
        <f>'Est gen ed 23 $$'!AI74/'Est gen ed 23 pos'!AI$123</f>
        <v>1</v>
      </c>
      <c r="AJ74" s="43">
        <f>'Est gen ed 23 $$'!AJ74/'Est gen ed 23 pos'!AJ$123</f>
        <v>1.9999999121515879</v>
      </c>
      <c r="AK74" s="43">
        <f>'Est gen ed 23 $$'!AK74/'Est gen ed 23 pos'!AK$123</f>
        <v>1.9999999121515879</v>
      </c>
      <c r="AL74" s="43">
        <f>'Est gen ed 23 $$'!AL74/'Est gen ed 23 pos'!AL$123</f>
        <v>3.9999997446793079</v>
      </c>
      <c r="AM74" s="43">
        <f>'Est gen ed 23 $$'!AM74/'Est gen ed 23 pos'!AM$123</f>
        <v>0</v>
      </c>
      <c r="AN74" s="43">
        <f>'Est gen ed 23 $$'!AN74/'Est gen ed 23 pos'!AN$123</f>
        <v>0</v>
      </c>
      <c r="AO74" s="43">
        <f>'Est gen ed 23 $$'!AO74/'Est gen ed 23 pos'!AO$123</f>
        <v>0</v>
      </c>
      <c r="AP74" s="34">
        <f>VLOOKUP($A74,'[1]Init $$'!$B$3:$CG$118,42,FALSE)</f>
        <v>21502.799999999999</v>
      </c>
      <c r="AQ74" s="34">
        <f>VLOOKUP($A74,'[1]Init $$'!$B$3:$CG$118,43,FALSE)</f>
        <v>0</v>
      </c>
      <c r="AR74" s="43">
        <f>'Est gen ed 23 $$'!AR74/'Est gen ed 23 pos'!AR$123</f>
        <v>1</v>
      </c>
      <c r="AS74" s="43">
        <f>'Est gen ed 23 $$'!AS74/'Est gen ed 23 pos'!AS$123</f>
        <v>0</v>
      </c>
      <c r="AT74" s="43">
        <f>'Est gen ed 23 $$'!AT74/'Est gen ed 23 pos'!AT$123</f>
        <v>0</v>
      </c>
      <c r="AU74" s="34">
        <f>VLOOKUP($A74,'[1]Init $$'!$B$3:$CG$118,47,FALSE)</f>
        <v>30462.3</v>
      </c>
      <c r="AV74" s="34">
        <f>VLOOKUP($A74,'[1]Init $$'!$B$3:$CG$118,48,FALSE)</f>
        <v>0</v>
      </c>
      <c r="AW74" s="34">
        <f>VLOOKUP($A74,'[1]Init $$'!$B$3:$CG$118,49,FALSE)</f>
        <v>0</v>
      </c>
      <c r="AX74" s="34">
        <f>VLOOKUP($A74,'[1]Init $$'!$B$3:$CG$118,50,FALSE)</f>
        <v>0</v>
      </c>
      <c r="AY74" s="34">
        <f>VLOOKUP($A74,'[1]Init $$'!$B$3:$CG$118,51,FALSE)</f>
        <v>0</v>
      </c>
      <c r="AZ74" s="34">
        <f>VLOOKUP($A74,'[1]Init $$'!$B$3:$CG$118,52,FALSE)</f>
        <v>0</v>
      </c>
      <c r="BA74" s="34">
        <f>VLOOKUP($A74,'[1]Init $$'!$B$3:$CG$118,53,FALSE)</f>
        <v>0</v>
      </c>
      <c r="BB74" s="34">
        <f>VLOOKUP($A74,'[1]Init $$'!$B$3:$CG$118,54,FALSE)</f>
        <v>0</v>
      </c>
      <c r="BC74" s="34">
        <f>VLOOKUP($A74,'[1]Init $$'!$B$3:$CG$118,55,FALSE)</f>
        <v>0</v>
      </c>
      <c r="BD74" s="34">
        <f>VLOOKUP($A74,'[1]Init $$'!$B$3:$CG$118,56,FALSE)</f>
        <v>0</v>
      </c>
      <c r="BE74" s="34">
        <f>VLOOKUP($A74,'[1]Init $$'!$B$3:$CG$118,57,FALSE)</f>
        <v>1650</v>
      </c>
      <c r="BF74" s="43">
        <f>'Est gen ed 23 $$'!BF74/'Est gen ed 23 pos'!BF$123</f>
        <v>0</v>
      </c>
      <c r="BG74" s="43">
        <f>'Est gen ed 23 $$'!BG74/'Est gen ed 23 pos'!BG$123</f>
        <v>0</v>
      </c>
      <c r="BH74" s="34">
        <f>VLOOKUP($A74,'[1]Init $$'!$B$3:$CG$118,60,FALSE)</f>
        <v>0</v>
      </c>
      <c r="BI74" s="34">
        <f>VLOOKUP($A74,'[1]Init $$'!$B$3:$CG$118,61,FALSE)</f>
        <v>0</v>
      </c>
      <c r="BJ74" s="34">
        <f>VLOOKUP($A74,'[1]Init $$'!$B$3:$CG$118,62,FALSE)</f>
        <v>0</v>
      </c>
      <c r="BK74" s="43">
        <f>'Est gen ed 23 $$'!BK74/'Est gen ed 23 pos'!BK$123</f>
        <v>0</v>
      </c>
      <c r="BL74" s="34">
        <f>VLOOKUP($A74,'[1]Init $$'!$B$3:$CG$118,64,FALSE)</f>
        <v>0</v>
      </c>
      <c r="BM74" s="43">
        <f>'Est gen ed 23 $$'!BM74/'Est gen ed 23 pos'!BM$123</f>
        <v>0</v>
      </c>
      <c r="BN74" s="34">
        <f>VLOOKUP($A74,'[1]Init $$'!$B$3:$CG$118,66,FALSE)</f>
        <v>0</v>
      </c>
      <c r="BO74" s="43">
        <f>'Est gen ed 23 $$'!BO74/'Est gen ed 23 pos'!BO$123</f>
        <v>0</v>
      </c>
      <c r="BP74" s="34">
        <f>VLOOKUP($A74,'[1]Init $$'!$B$3:$CG$118,68,FALSE)</f>
        <v>0</v>
      </c>
      <c r="BQ74" s="43">
        <f>'Est gen ed 23 $$'!BQ74/'Est gen ed 23 pos'!BQ$123</f>
        <v>0</v>
      </c>
      <c r="BR74" s="43">
        <f>'Est gen ed 23 $$'!BR74/'Est gen ed 23 pos'!BR$123</f>
        <v>0</v>
      </c>
      <c r="BS74" s="34">
        <f>VLOOKUP($A74,'[1]Init $$'!$B$3:$CG$118,71,FALSE)</f>
        <v>0</v>
      </c>
      <c r="BT74" s="34">
        <f>VLOOKUP($A74,'[1]Init $$'!$B$3:$CG$118,72,FALSE)</f>
        <v>0</v>
      </c>
      <c r="BU74" s="34">
        <f>VLOOKUP($A74,'[1]Init $$'!$B$3:$CG$118,73,FALSE)</f>
        <v>0</v>
      </c>
      <c r="BV74" s="34">
        <f>VLOOKUP($A74,'[1]Init $$'!$B$3:$CG$118,74,FALSE)</f>
        <v>0</v>
      </c>
      <c r="BW74" s="34">
        <f>VLOOKUP($A74,'[1]Init $$'!$B$3:$CG$118,75,FALSE)</f>
        <v>0</v>
      </c>
      <c r="BX74" s="43">
        <f>'Est gen ed 23 $$'!BX74/'Est gen ed 23 pos'!BX$123</f>
        <v>0</v>
      </c>
      <c r="BY74" s="43">
        <f>'Est gen ed 23 $$'!BY74/'Est gen ed 23 pos'!BY$123</f>
        <v>0</v>
      </c>
      <c r="BZ74" s="43">
        <f>'Est gen ed 23 $$'!BZ74/'Est gen ed 23 pos'!BZ$123</f>
        <v>0</v>
      </c>
      <c r="CA74" s="34">
        <f>VLOOKUP($A74,'[1]Init $$'!$B$3:$CG$118,79,FALSE)</f>
        <v>48285.07</v>
      </c>
      <c r="CB74" s="34">
        <f>VLOOKUP($A74,'[1]Init $$'!$B$3:$CG$118,80,FALSE)</f>
        <v>0</v>
      </c>
      <c r="CC74" s="34">
        <f>VLOOKUP($A74,'[1]Init $$'!$B$3:$CG$118,81,FALSE)</f>
        <v>0</v>
      </c>
      <c r="CD74" s="34">
        <f>VLOOKUP($A74,'[1]Init $$'!$B$3:$CG$118,82,FALSE)</f>
        <v>0</v>
      </c>
      <c r="CE74" s="34">
        <f>VLOOKUP($A74,'[1]Init $$'!$B$3:$CG$118,83,FALSE)</f>
        <v>162202.73000000001</v>
      </c>
      <c r="CF74" s="34">
        <f>VLOOKUP($A74,'[1]Init $$'!$B$3:$CG$118,84,FALSE)</f>
        <v>0</v>
      </c>
      <c r="CJ74" s="28">
        <f t="shared" si="6"/>
        <v>742826.99999913794</v>
      </c>
      <c r="CK74" s="43">
        <f>'Est gen ed 23 $$'!CK74/'Est gen ed 23 pos'!CK$123</f>
        <v>0.99999604682144683</v>
      </c>
      <c r="CL74" s="43">
        <f>'Est gen ed 23 $$'!CL74/'Est gen ed 23 pos'!CL$123</f>
        <v>0</v>
      </c>
      <c r="CM74" s="43">
        <f>'Est gen ed 23 $$'!CM74/'Est gen ed 23 pos'!CM$123</f>
        <v>0.5</v>
      </c>
      <c r="CN74" s="43">
        <f>'Est gen ed 23 $$'!CN74/'Est gen ed 23 pos'!CN$123</f>
        <v>0</v>
      </c>
      <c r="CO74" s="43">
        <f>'Est gen ed 23 $$'!CO74/'Est gen ed 23 pos'!CO$123</f>
        <v>0</v>
      </c>
      <c r="CP74" s="43">
        <f>'Est gen ed 23 $$'!CP74/'Est gen ed 23 pos'!CP$123</f>
        <v>0</v>
      </c>
      <c r="CQ74" s="43">
        <f>'Est gen ed 23 $$'!CQ74/'Est gen ed 23 pos'!CQ$123</f>
        <v>0.99999604682144683</v>
      </c>
      <c r="CR74" s="43">
        <f>'Est gen ed 23 $$'!CR74/'Est gen ed 23 pos'!CR$123</f>
        <v>0.99999604682144683</v>
      </c>
      <c r="CS74" s="43">
        <f>'Est gen ed 23 $$'!CS74/'Est gen ed 23 pos'!CS$123</f>
        <v>0.99999604682144683</v>
      </c>
      <c r="CT74" s="43">
        <f>'Est gen ed 23 $$'!CT74/'Est gen ed 23 pos'!CT$123</f>
        <v>0</v>
      </c>
      <c r="CU74" s="43" t="e">
        <f>'Est gen ed 23 $$'!CU74/'Est gen ed 23 pos'!CU$123</f>
        <v>#VALUE!</v>
      </c>
      <c r="CZ74" s="43">
        <f>'Est gen ed 23 $$'!CW74/'Est gen ed 23 pos'!CZ$123</f>
        <v>0</v>
      </c>
      <c r="DB74" s="28">
        <f t="shared" si="7"/>
        <v>0</v>
      </c>
      <c r="DC74" s="28">
        <f t="shared" si="4"/>
        <v>162202.73000000001</v>
      </c>
      <c r="DK74" s="34"/>
      <c r="DL74" s="34"/>
    </row>
    <row r="75" spans="1:116" x14ac:dyDescent="0.2">
      <c r="A75">
        <v>280</v>
      </c>
      <c r="B75" t="s">
        <v>54</v>
      </c>
      <c r="C75" t="s">
        <v>7</v>
      </c>
      <c r="D75">
        <v>6</v>
      </c>
      <c r="E75">
        <f>VLOOKUP($A75,'[1]Init $$'!$B$3:$CG$118,4,FALSE)</f>
        <v>395</v>
      </c>
      <c r="F75">
        <f>VLOOKUP($A75,'[1]Init $$'!$B$3:$CG$118,6,FALSE)</f>
        <v>283</v>
      </c>
      <c r="G75">
        <f>VLOOKUP($A75,'[2]$$xSchpostCouncilxLevel'!$A$4:$EW$120,153,FALSE)</f>
        <v>309</v>
      </c>
      <c r="H75" s="50">
        <f t="shared" si="5"/>
        <v>-26</v>
      </c>
      <c r="I75" s="4">
        <f>VLOOKUP($A75,'[1]Init $$'!$B$3:$CG$118,8,FALSE)</f>
        <v>0.63797468354430376</v>
      </c>
      <c r="J75">
        <f>VLOOKUP($A75,'[1]Init $$'!$B$3:$CG$118,7,FALSE)</f>
        <v>252</v>
      </c>
      <c r="K75" s="43">
        <f>'Est gen ed 23 $$'!K75/'Est gen ed 23 pos'!K$123</f>
        <v>1</v>
      </c>
      <c r="L75" s="43">
        <f>'Est gen ed 23 $$'!L75/'Est gen ed 23 pos'!L$123</f>
        <v>0</v>
      </c>
      <c r="M75" s="43">
        <f>'Est gen ed 23 $$'!M75/'Est gen ed 23 pos'!M$123</f>
        <v>0</v>
      </c>
      <c r="N75" s="43">
        <f>'Est gen ed 23 $$'!N75/'Est gen ed 23 pos'!N$123</f>
        <v>1</v>
      </c>
      <c r="O75" s="34">
        <f>VLOOKUP($A75,'[1]Init $$'!$B$3:$CG$118,15,FALSE)</f>
        <v>7973.6</v>
      </c>
      <c r="P75" s="43">
        <f>'Est gen ed 23 $$'!P75/'Est gen ed 23 pos'!P$123</f>
        <v>1</v>
      </c>
      <c r="Q75" s="43">
        <f>'Est gen ed 23 $$'!Q75/'Est gen ed 23 pos'!Q$123</f>
        <v>1</v>
      </c>
      <c r="R75" s="43">
        <f>'Est gen ed 23 $$'!R75/'Est gen ed 23 pos'!R$123</f>
        <v>3.0000001953611113</v>
      </c>
      <c r="S75" s="43">
        <f>'Est gen ed 23 $$'!S75/'Est gen ed 23 pos'!S$123</f>
        <v>1</v>
      </c>
      <c r="T75" s="43">
        <f>'Est gen ed 23 $$'!T75/'Est gen ed 23 pos'!T$123</f>
        <v>2.9999999121515879</v>
      </c>
      <c r="U75" s="43">
        <f>'Est gen ed 23 $$'!U75/'Est gen ed 23 pos'!U$123</f>
        <v>1</v>
      </c>
      <c r="V75" s="43">
        <f>'Est gen ed 23 $$'!V75/'Est gen ed 23 pos'!V$123</f>
        <v>3.9999998243031758</v>
      </c>
      <c r="W75" s="43">
        <f>'Est gen ed 23 $$'!W75/'Est gen ed 23 pos'!W$123</f>
        <v>7.999999234037924</v>
      </c>
      <c r="X75" s="34">
        <f>VLOOKUP($A75,'[1]Init $$'!$B$3:$CG$118,24,FALSE)</f>
        <v>200692.8</v>
      </c>
      <c r="Y75" s="34">
        <f>VLOOKUP($A75,'[1]Init $$'!$B$3:$CG$118,25,FALSE)</f>
        <v>0</v>
      </c>
      <c r="Z75" s="34">
        <f>VLOOKUP($A75,'[1]Init $$'!$B$3:$CG$118,26,FALSE)</f>
        <v>0</v>
      </c>
      <c r="AA75" s="34">
        <f>VLOOKUP($A75,'[1]Init $$'!$B$3:$CG$118,27,FALSE)</f>
        <v>0</v>
      </c>
      <c r="AB75" s="43">
        <f>'Est gen ed 23 $$'!AB75/'Est gen ed 23 pos'!AB$123</f>
        <v>0</v>
      </c>
      <c r="AC75" s="43">
        <f>'Est gen ed 23 $$'!AC75/'Est gen ed 23 pos'!AC$123</f>
        <v>0</v>
      </c>
      <c r="AD75" s="43">
        <f>'Est gen ed 23 $$'!AD75/'Est gen ed 23 pos'!AD$123</f>
        <v>0</v>
      </c>
      <c r="AE75" s="43">
        <f>'Est gen ed 23 $$'!AE75/'Est gen ed 23 pos'!AE$123</f>
        <v>0</v>
      </c>
      <c r="AF75" s="34">
        <f>VLOOKUP($A75,'[1]Init $$'!$B$3:$CG$118,32,FALSE)</f>
        <v>1690359</v>
      </c>
      <c r="AG75" s="34">
        <f>VLOOKUP($A75,'[1]Init $$'!$B$3:$CG$118,33,FALSE)</f>
        <v>128375</v>
      </c>
      <c r="AH75" s="43">
        <f>'Est gen ed 23 $$'!AH75/'Est gen ed 23 pos'!AH$123</f>
        <v>1</v>
      </c>
      <c r="AI75" s="43">
        <f>'Est gen ed 23 $$'!AI75/'Est gen ed 23 pos'!AI$123</f>
        <v>1.9999999121515879</v>
      </c>
      <c r="AJ75" s="43">
        <f>'Est gen ed 23 $$'!AJ75/'Est gen ed 23 pos'!AJ$123</f>
        <v>3.9999998243031758</v>
      </c>
      <c r="AK75" s="43">
        <f>'Est gen ed 23 $$'!AK75/'Est gen ed 23 pos'!AK$123</f>
        <v>3.9999998243031758</v>
      </c>
      <c r="AL75" s="43">
        <f>'Est gen ed 23 $$'!AL75/'Est gen ed 23 pos'!AL$123</f>
        <v>5.9999994893586166</v>
      </c>
      <c r="AM75" s="43">
        <f>'Est gen ed 23 $$'!AM75/'Est gen ed 23 pos'!AM$123</f>
        <v>0</v>
      </c>
      <c r="AN75" s="43">
        <f>'Est gen ed 23 $$'!AN75/'Est gen ed 23 pos'!AN$123</f>
        <v>0</v>
      </c>
      <c r="AO75" s="43">
        <f>'Est gen ed 23 $$'!AO75/'Est gen ed 23 pos'!AO$123</f>
        <v>0</v>
      </c>
      <c r="AP75" s="34">
        <f>VLOOKUP($A75,'[1]Init $$'!$B$3:$CG$118,42,FALSE)</f>
        <v>130808.7</v>
      </c>
      <c r="AQ75" s="34">
        <f>VLOOKUP($A75,'[1]Init $$'!$B$3:$CG$118,43,FALSE)</f>
        <v>0</v>
      </c>
      <c r="AR75" s="43">
        <f>'Est gen ed 23 $$'!AR75/'Est gen ed 23 pos'!AR$123</f>
        <v>1</v>
      </c>
      <c r="AS75" s="43">
        <f>'Est gen ed 23 $$'!AS75/'Est gen ed 23 pos'!AS$123</f>
        <v>0</v>
      </c>
      <c r="AT75" s="43">
        <f>'Est gen ed 23 $$'!AT75/'Est gen ed 23 pos'!AT$123</f>
        <v>0</v>
      </c>
      <c r="AU75" s="34">
        <f>VLOOKUP($A75,'[1]Init $$'!$B$3:$CG$118,47,FALSE)</f>
        <v>30462.3</v>
      </c>
      <c r="AV75" s="34">
        <f>VLOOKUP($A75,'[1]Init $$'!$B$3:$CG$118,48,FALSE)</f>
        <v>20400</v>
      </c>
      <c r="AW75" s="34">
        <f>VLOOKUP($A75,'[1]Init $$'!$B$3:$CG$118,49,FALSE)</f>
        <v>20400</v>
      </c>
      <c r="AX75" s="34">
        <f>VLOOKUP($A75,'[1]Init $$'!$B$3:$CG$118,50,FALSE)</f>
        <v>10200</v>
      </c>
      <c r="AY75" s="34">
        <f>VLOOKUP($A75,'[1]Init $$'!$B$3:$CG$118,51,FALSE)</f>
        <v>0</v>
      </c>
      <c r="AZ75" s="34">
        <f>VLOOKUP($A75,'[1]Init $$'!$B$3:$CG$118,52,FALSE)</f>
        <v>20400</v>
      </c>
      <c r="BA75" s="34">
        <f>VLOOKUP($A75,'[1]Init $$'!$B$3:$CG$118,53,FALSE)</f>
        <v>0</v>
      </c>
      <c r="BB75" s="34">
        <f>VLOOKUP($A75,'[1]Init $$'!$B$3:$CG$118,54,FALSE)</f>
        <v>20400</v>
      </c>
      <c r="BC75" s="34">
        <f>VLOOKUP($A75,'[1]Init $$'!$B$3:$CG$118,55,FALSE)</f>
        <v>199154.67</v>
      </c>
      <c r="BD75" s="34">
        <f>VLOOKUP($A75,'[1]Init $$'!$B$3:$CG$118,56,FALSE)</f>
        <v>3207.89</v>
      </c>
      <c r="BE75" s="34">
        <f>VLOOKUP($A75,'[1]Init $$'!$B$3:$CG$118,57,FALSE)</f>
        <v>0</v>
      </c>
      <c r="BF75" s="43">
        <f>'Est gen ed 23 $$'!BF75/'Est gen ed 23 pos'!BF$123</f>
        <v>0</v>
      </c>
      <c r="BG75" s="43">
        <f>'Est gen ed 23 $$'!BG75/'Est gen ed 23 pos'!BG$123</f>
        <v>0</v>
      </c>
      <c r="BH75" s="34">
        <f>VLOOKUP($A75,'[1]Init $$'!$B$3:$CG$118,60,FALSE)</f>
        <v>0</v>
      </c>
      <c r="BI75" s="34">
        <f>VLOOKUP($A75,'[1]Init $$'!$B$3:$CG$118,61,FALSE)</f>
        <v>0</v>
      </c>
      <c r="BJ75" s="34">
        <f>VLOOKUP($A75,'[1]Init $$'!$B$3:$CG$118,62,FALSE)</f>
        <v>0</v>
      </c>
      <c r="BK75" s="43">
        <f>'Est gen ed 23 $$'!BK75/'Est gen ed 23 pos'!BK$123</f>
        <v>0</v>
      </c>
      <c r="BL75" s="34">
        <f>VLOOKUP($A75,'[1]Init $$'!$B$3:$CG$118,64,FALSE)</f>
        <v>0</v>
      </c>
      <c r="BM75" s="43">
        <f>'Est gen ed 23 $$'!BM75/'Est gen ed 23 pos'!BM$123</f>
        <v>0</v>
      </c>
      <c r="BN75" s="34">
        <f>VLOOKUP($A75,'[1]Init $$'!$B$3:$CG$118,66,FALSE)</f>
        <v>0</v>
      </c>
      <c r="BO75" s="43">
        <f>'Est gen ed 23 $$'!BO75/'Est gen ed 23 pos'!BO$123</f>
        <v>0</v>
      </c>
      <c r="BP75" s="34">
        <f>VLOOKUP($A75,'[1]Init $$'!$B$3:$CG$118,68,FALSE)</f>
        <v>0</v>
      </c>
      <c r="BQ75" s="43">
        <f>'Est gen ed 23 $$'!BQ75/'Est gen ed 23 pos'!BQ$123</f>
        <v>0</v>
      </c>
      <c r="BR75" s="43">
        <f>'Est gen ed 23 $$'!BR75/'Est gen ed 23 pos'!BR$123</f>
        <v>0</v>
      </c>
      <c r="BS75" s="34">
        <f>VLOOKUP($A75,'[1]Init $$'!$B$3:$CG$118,71,FALSE)</f>
        <v>0</v>
      </c>
      <c r="BT75" s="34">
        <f>VLOOKUP($A75,'[1]Init $$'!$B$3:$CG$118,72,FALSE)</f>
        <v>0</v>
      </c>
      <c r="BU75" s="34">
        <f>VLOOKUP($A75,'[1]Init $$'!$B$3:$CG$118,73,FALSE)</f>
        <v>0</v>
      </c>
      <c r="BV75" s="34">
        <f>VLOOKUP($A75,'[1]Init $$'!$B$3:$CG$118,74,FALSE)</f>
        <v>0</v>
      </c>
      <c r="BW75" s="34">
        <f>VLOOKUP($A75,'[1]Init $$'!$B$3:$CG$118,75,FALSE)</f>
        <v>0</v>
      </c>
      <c r="BX75" s="43">
        <f>'Est gen ed 23 $$'!BX75/'Est gen ed 23 pos'!BX$123</f>
        <v>0</v>
      </c>
      <c r="BY75" s="43">
        <f>'Est gen ed 23 $$'!BY75/'Est gen ed 23 pos'!BY$123</f>
        <v>0</v>
      </c>
      <c r="BZ75" s="43">
        <f>'Est gen ed 23 $$'!BZ75/'Est gen ed 23 pos'!BZ$123</f>
        <v>0</v>
      </c>
      <c r="CA75" s="34">
        <f>VLOOKUP($A75,'[1]Init $$'!$B$3:$CG$118,79,FALSE)</f>
        <v>675991.01</v>
      </c>
      <c r="CB75" s="34">
        <f>VLOOKUP($A75,'[1]Init $$'!$B$3:$CG$118,80,FALSE)</f>
        <v>112292.4</v>
      </c>
      <c r="CC75" s="34">
        <f>VLOOKUP($A75,'[1]Init $$'!$B$3:$CG$118,81,FALSE)</f>
        <v>227132.35</v>
      </c>
      <c r="CD75" s="34">
        <f>VLOOKUP($A75,'[1]Init $$'!$B$3:$CG$118,82,FALSE)</f>
        <v>276931.84000000003</v>
      </c>
      <c r="CE75" s="34">
        <f>VLOOKUP($A75,'[1]Init $$'!$B$3:$CG$118,83,FALSE)</f>
        <v>0</v>
      </c>
      <c r="CF75" s="34">
        <f>VLOOKUP($A75,'[1]Init $$'!$B$3:$CG$118,84,FALSE)</f>
        <v>0</v>
      </c>
      <c r="CJ75" s="28">
        <f t="shared" si="6"/>
        <v>3775223.5599982161</v>
      </c>
      <c r="CK75" s="43">
        <f>'Est gen ed 23 $$'!CK75/'Est gen ed 23 pos'!CK$123</f>
        <v>0.99999604682144683</v>
      </c>
      <c r="CL75" s="43">
        <f>'Est gen ed 23 $$'!CL75/'Est gen ed 23 pos'!CL$123</f>
        <v>0.98750000000000004</v>
      </c>
      <c r="CM75" s="43">
        <f>'Est gen ed 23 $$'!CM75/'Est gen ed 23 pos'!CM$123</f>
        <v>1</v>
      </c>
      <c r="CN75" s="43">
        <f>'Est gen ed 23 $$'!CN75/'Est gen ed 23 pos'!CN$123</f>
        <v>0</v>
      </c>
      <c r="CO75" s="43">
        <f>'Est gen ed 23 $$'!CO75/'Est gen ed 23 pos'!CO$123</f>
        <v>0</v>
      </c>
      <c r="CP75" s="43">
        <f>'Est gen ed 23 $$'!CP75/'Est gen ed 23 pos'!CP$123</f>
        <v>0</v>
      </c>
      <c r="CQ75" s="43">
        <f>'Est gen ed 23 $$'!CQ75/'Est gen ed 23 pos'!CQ$123</f>
        <v>0.99999604682144683</v>
      </c>
      <c r="CR75" s="43">
        <f>'Est gen ed 23 $$'!CR75/'Est gen ed 23 pos'!CR$123</f>
        <v>0.99999604682144683</v>
      </c>
      <c r="CS75" s="43">
        <f>'Est gen ed 23 $$'!CS75/'Est gen ed 23 pos'!CS$123</f>
        <v>1.9999920936428937</v>
      </c>
      <c r="CT75" s="43">
        <f>'Est gen ed 23 $$'!CT75/'Est gen ed 23 pos'!CT$123</f>
        <v>3</v>
      </c>
      <c r="CU75" s="43">
        <f>'Est gen ed 23 $$'!CU75/'Est gen ed 23 pos'!CU$123</f>
        <v>15</v>
      </c>
      <c r="CZ75" s="43">
        <f>'Est gen ed 23 $$'!CW75/'Est gen ed 23 pos'!CZ$123</f>
        <v>0</v>
      </c>
      <c r="DB75" s="28">
        <f t="shared" si="7"/>
        <v>1690359</v>
      </c>
      <c r="DC75" s="28">
        <f t="shared" si="4"/>
        <v>504064.19000000006</v>
      </c>
      <c r="DK75" s="34"/>
      <c r="DL75" s="34"/>
    </row>
    <row r="76" spans="1:116" x14ac:dyDescent="0.2">
      <c r="A76">
        <v>285</v>
      </c>
      <c r="B76" t="s">
        <v>53</v>
      </c>
      <c r="C76" t="s">
        <v>7</v>
      </c>
      <c r="D76">
        <v>8</v>
      </c>
      <c r="E76">
        <f>VLOOKUP($A76,'[1]Init $$'!$B$3:$CG$118,4,FALSE)</f>
        <v>211</v>
      </c>
      <c r="F76">
        <f>VLOOKUP($A76,'[1]Init $$'!$B$3:$CG$118,6,FALSE)</f>
        <v>143</v>
      </c>
      <c r="G76">
        <f>VLOOKUP($A76,'[2]$$xSchpostCouncilxLevel'!$A$4:$EW$120,153,FALSE)</f>
        <v>165</v>
      </c>
      <c r="H76" s="50">
        <f t="shared" si="5"/>
        <v>-22</v>
      </c>
      <c r="I76" s="4">
        <f>VLOOKUP($A76,'[1]Init $$'!$B$3:$CG$118,8,FALSE)</f>
        <v>0.89573459715639814</v>
      </c>
      <c r="J76">
        <f>VLOOKUP($A76,'[1]Init $$'!$B$3:$CG$118,7,FALSE)</f>
        <v>189</v>
      </c>
      <c r="K76" s="43">
        <f>'Est gen ed 23 $$'!K76/'Est gen ed 23 pos'!K$123</f>
        <v>1</v>
      </c>
      <c r="L76" s="43">
        <f>'Est gen ed 23 $$'!L76/'Est gen ed 23 pos'!L$123</f>
        <v>0</v>
      </c>
      <c r="M76" s="43">
        <f>'Est gen ed 23 $$'!M76/'Est gen ed 23 pos'!M$123</f>
        <v>0</v>
      </c>
      <c r="N76" s="43">
        <f>'Est gen ed 23 $$'!N76/'Est gen ed 23 pos'!N$123</f>
        <v>1</v>
      </c>
      <c r="O76" s="34">
        <f>VLOOKUP($A76,'[1]Init $$'!$B$3:$CG$118,15,FALSE)</f>
        <v>7877.65</v>
      </c>
      <c r="P76" s="43">
        <f>'Est gen ed 23 $$'!P76/'Est gen ed 23 pos'!P$123</f>
        <v>1</v>
      </c>
      <c r="Q76" s="43">
        <f>'Est gen ed 23 $$'!Q76/'Est gen ed 23 pos'!Q$123</f>
        <v>1</v>
      </c>
      <c r="R76" s="43">
        <f>'Est gen ed 23 $$'!R76/'Est gen ed 23 pos'!R$123</f>
        <v>2.0000001953611113</v>
      </c>
      <c r="S76" s="43">
        <f>'Est gen ed 23 $$'!S76/'Est gen ed 23 pos'!S$123</f>
        <v>1</v>
      </c>
      <c r="T76" s="43">
        <f>'Est gen ed 23 $$'!T76/'Est gen ed 23 pos'!T$123</f>
        <v>1.9999999121515879</v>
      </c>
      <c r="U76" s="43">
        <f>'Est gen ed 23 $$'!U76/'Est gen ed 23 pos'!U$123</f>
        <v>1</v>
      </c>
      <c r="V76" s="43">
        <f>'Est gen ed 23 $$'!V76/'Est gen ed 23 pos'!V$123</f>
        <v>1.9999999121515879</v>
      </c>
      <c r="W76" s="43">
        <f>'Est gen ed 23 $$'!W76/'Est gen ed 23 pos'!W$123</f>
        <v>4.9999994893586166</v>
      </c>
      <c r="X76" s="34">
        <f>VLOOKUP($A76,'[1]Init $$'!$B$3:$CG$118,24,FALSE)</f>
        <v>121849.2</v>
      </c>
      <c r="Y76" s="34">
        <f>VLOOKUP($A76,'[1]Init $$'!$B$3:$CG$118,25,FALSE)</f>
        <v>0</v>
      </c>
      <c r="Z76" s="34">
        <f>VLOOKUP($A76,'[1]Init $$'!$B$3:$CG$118,26,FALSE)</f>
        <v>0</v>
      </c>
      <c r="AA76" s="34">
        <f>VLOOKUP($A76,'[1]Init $$'!$B$3:$CG$118,27,FALSE)</f>
        <v>0</v>
      </c>
      <c r="AB76" s="43">
        <f>'Est gen ed 23 $$'!AB76/'Est gen ed 23 pos'!AB$123</f>
        <v>0</v>
      </c>
      <c r="AC76" s="43">
        <f>'Est gen ed 23 $$'!AC76/'Est gen ed 23 pos'!AC$123</f>
        <v>0</v>
      </c>
      <c r="AD76" s="43">
        <f>'Est gen ed 23 $$'!AD76/'Est gen ed 23 pos'!AD$123</f>
        <v>0</v>
      </c>
      <c r="AE76" s="43">
        <f>'Est gen ed 23 $$'!AE76/'Est gen ed 23 pos'!AE$123</f>
        <v>0</v>
      </c>
      <c r="AF76" s="34">
        <f>VLOOKUP($A76,'[1]Init $$'!$B$3:$CG$118,32,FALSE)</f>
        <v>854139</v>
      </c>
      <c r="AG76" s="34">
        <f>VLOOKUP($A76,'[1]Init $$'!$B$3:$CG$118,33,FALSE)</f>
        <v>68575</v>
      </c>
      <c r="AH76" s="43">
        <f>'Est gen ed 23 $$'!AH76/'Est gen ed 23 pos'!AH$123</f>
        <v>1</v>
      </c>
      <c r="AI76" s="43">
        <f>'Est gen ed 23 $$'!AI76/'Est gen ed 23 pos'!AI$123</f>
        <v>1</v>
      </c>
      <c r="AJ76" s="43">
        <f>'Est gen ed 23 $$'!AJ76/'Est gen ed 23 pos'!AJ$123</f>
        <v>2.9999999121515879</v>
      </c>
      <c r="AK76" s="43">
        <f>'Est gen ed 23 $$'!AK76/'Est gen ed 23 pos'!AK$123</f>
        <v>1.9999999121515879</v>
      </c>
      <c r="AL76" s="43">
        <f>'Est gen ed 23 $$'!AL76/'Est gen ed 23 pos'!AL$123</f>
        <v>3.9999997446793079</v>
      </c>
      <c r="AM76" s="43">
        <f>'Est gen ed 23 $$'!AM76/'Est gen ed 23 pos'!AM$123</f>
        <v>0</v>
      </c>
      <c r="AN76" s="43">
        <f>'Est gen ed 23 $$'!AN76/'Est gen ed 23 pos'!AN$123</f>
        <v>0</v>
      </c>
      <c r="AO76" s="43">
        <f>'Est gen ed 23 $$'!AO76/'Est gen ed 23 pos'!AO$123</f>
        <v>0</v>
      </c>
      <c r="AP76" s="34">
        <f>VLOOKUP($A76,'[1]Init $$'!$B$3:$CG$118,42,FALSE)</f>
        <v>84219.3</v>
      </c>
      <c r="AQ76" s="34">
        <f>VLOOKUP($A76,'[1]Init $$'!$B$3:$CG$118,43,FALSE)</f>
        <v>0</v>
      </c>
      <c r="AR76" s="43">
        <f>'Est gen ed 23 $$'!AR76/'Est gen ed 23 pos'!AR$123</f>
        <v>0</v>
      </c>
      <c r="AS76" s="43">
        <f>'Est gen ed 23 $$'!AS76/'Est gen ed 23 pos'!AS$123</f>
        <v>4.9999978037896929E-2</v>
      </c>
      <c r="AT76" s="43">
        <f>'Est gen ed 23 $$'!AT76/'Est gen ed 23 pos'!AT$123</f>
        <v>0</v>
      </c>
      <c r="AU76" s="34">
        <f>VLOOKUP($A76,'[1]Init $$'!$B$3:$CG$118,47,FALSE)</f>
        <v>1791.9</v>
      </c>
      <c r="AV76" s="34">
        <f>VLOOKUP($A76,'[1]Init $$'!$B$3:$CG$118,48,FALSE)</f>
        <v>13600</v>
      </c>
      <c r="AW76" s="34">
        <f>VLOOKUP($A76,'[1]Init $$'!$B$3:$CG$118,49,FALSE)</f>
        <v>13600</v>
      </c>
      <c r="AX76" s="34">
        <f>VLOOKUP($A76,'[1]Init $$'!$B$3:$CG$118,50,FALSE)</f>
        <v>10200</v>
      </c>
      <c r="AY76" s="34">
        <f>VLOOKUP($A76,'[1]Init $$'!$B$3:$CG$118,51,FALSE)</f>
        <v>0</v>
      </c>
      <c r="AZ76" s="34">
        <f>VLOOKUP($A76,'[1]Init $$'!$B$3:$CG$118,52,FALSE)</f>
        <v>6800</v>
      </c>
      <c r="BA76" s="34">
        <f>VLOOKUP($A76,'[1]Init $$'!$B$3:$CG$118,53,FALSE)</f>
        <v>0</v>
      </c>
      <c r="BB76" s="34">
        <f>VLOOKUP($A76,'[1]Init $$'!$B$3:$CG$118,54,FALSE)</f>
        <v>6800</v>
      </c>
      <c r="BC76" s="34">
        <f>VLOOKUP($A76,'[1]Init $$'!$B$3:$CG$118,55,FALSE)</f>
        <v>114189.23</v>
      </c>
      <c r="BD76" s="34">
        <f>VLOOKUP($A76,'[1]Init $$'!$B$3:$CG$118,56,FALSE)</f>
        <v>1839.31</v>
      </c>
      <c r="BE76" s="34">
        <f>VLOOKUP($A76,'[1]Init $$'!$B$3:$CG$118,57,FALSE)</f>
        <v>0</v>
      </c>
      <c r="BF76" s="43">
        <f>'Est gen ed 23 $$'!BF76/'Est gen ed 23 pos'!BF$123</f>
        <v>1</v>
      </c>
      <c r="BG76" s="43">
        <f>'Est gen ed 23 $$'!BG76/'Est gen ed 23 pos'!BG$123</f>
        <v>0</v>
      </c>
      <c r="BH76" s="34">
        <f>VLOOKUP($A76,'[1]Init $$'!$B$3:$CG$118,60,FALSE)</f>
        <v>0</v>
      </c>
      <c r="BI76" s="34">
        <f>VLOOKUP($A76,'[1]Init $$'!$B$3:$CG$118,61,FALSE)</f>
        <v>0</v>
      </c>
      <c r="BJ76" s="34">
        <f>VLOOKUP($A76,'[1]Init $$'!$B$3:$CG$118,62,FALSE)</f>
        <v>0</v>
      </c>
      <c r="BK76" s="43">
        <f>'Est gen ed 23 $$'!BK76/'Est gen ed 23 pos'!BK$123</f>
        <v>0</v>
      </c>
      <c r="BL76" s="34">
        <f>VLOOKUP($A76,'[1]Init $$'!$B$3:$CG$118,64,FALSE)</f>
        <v>0</v>
      </c>
      <c r="BM76" s="43">
        <f>'Est gen ed 23 $$'!BM76/'Est gen ed 23 pos'!BM$123</f>
        <v>0</v>
      </c>
      <c r="BN76" s="34">
        <f>VLOOKUP($A76,'[1]Init $$'!$B$3:$CG$118,66,FALSE)</f>
        <v>0</v>
      </c>
      <c r="BO76" s="43">
        <f>'Est gen ed 23 $$'!BO76/'Est gen ed 23 pos'!BO$123</f>
        <v>0</v>
      </c>
      <c r="BP76" s="34">
        <f>VLOOKUP($A76,'[1]Init $$'!$B$3:$CG$118,68,FALSE)</f>
        <v>0</v>
      </c>
      <c r="BQ76" s="43">
        <f>'Est gen ed 23 $$'!BQ76/'Est gen ed 23 pos'!BQ$123</f>
        <v>0</v>
      </c>
      <c r="BR76" s="43">
        <f>'Est gen ed 23 $$'!BR76/'Est gen ed 23 pos'!BR$123</f>
        <v>0</v>
      </c>
      <c r="BS76" s="34">
        <f>VLOOKUP($A76,'[1]Init $$'!$B$3:$CG$118,71,FALSE)</f>
        <v>0</v>
      </c>
      <c r="BT76" s="34">
        <f>VLOOKUP($A76,'[1]Init $$'!$B$3:$CG$118,72,FALSE)</f>
        <v>0</v>
      </c>
      <c r="BU76" s="34">
        <f>VLOOKUP($A76,'[1]Init $$'!$B$3:$CG$118,73,FALSE)</f>
        <v>0</v>
      </c>
      <c r="BV76" s="34">
        <f>VLOOKUP($A76,'[1]Init $$'!$B$3:$CG$118,74,FALSE)</f>
        <v>0</v>
      </c>
      <c r="BW76" s="34">
        <f>VLOOKUP($A76,'[1]Init $$'!$B$3:$CG$118,75,FALSE)</f>
        <v>0</v>
      </c>
      <c r="BX76" s="43">
        <f>'Est gen ed 23 $$'!BX76/'Est gen ed 23 pos'!BX$123</f>
        <v>0</v>
      </c>
      <c r="BY76" s="43">
        <f>'Est gen ed 23 $$'!BY76/'Est gen ed 23 pos'!BY$123</f>
        <v>0</v>
      </c>
      <c r="BZ76" s="43">
        <f>'Est gen ed 23 $$'!BZ76/'Est gen ed 23 pos'!BZ$123</f>
        <v>0</v>
      </c>
      <c r="CA76" s="34">
        <f>VLOOKUP($A76,'[1]Init $$'!$B$3:$CG$118,79,FALSE)</f>
        <v>506993.26</v>
      </c>
      <c r="CB76" s="34">
        <f>VLOOKUP($A76,'[1]Init $$'!$B$3:$CG$118,80,FALSE)</f>
        <v>124955.16</v>
      </c>
      <c r="CC76" s="34">
        <f>VLOOKUP($A76,'[1]Init $$'!$B$3:$CG$118,81,FALSE)</f>
        <v>150291.89000000001</v>
      </c>
      <c r="CD76" s="34">
        <f>VLOOKUP($A76,'[1]Init $$'!$B$3:$CG$118,82,FALSE)</f>
        <v>17551.63</v>
      </c>
      <c r="CE76" s="34">
        <f>VLOOKUP($A76,'[1]Init $$'!$B$3:$CG$118,83,FALSE)</f>
        <v>232663.72</v>
      </c>
      <c r="CF76" s="34">
        <f>VLOOKUP($A76,'[1]Init $$'!$B$3:$CG$118,84,FALSE)</f>
        <v>0</v>
      </c>
      <c r="CJ76" s="28">
        <f t="shared" si="6"/>
        <v>2337965.2999990559</v>
      </c>
      <c r="CK76" s="43">
        <f>'Est gen ed 23 $$'!CK76/'Est gen ed 23 pos'!CK$123</f>
        <v>0.99999604682144683</v>
      </c>
      <c r="CL76" s="43">
        <f>'Est gen ed 23 $$'!CL76/'Est gen ed 23 pos'!CL$123</f>
        <v>0</v>
      </c>
      <c r="CM76" s="43">
        <f>'Est gen ed 23 $$'!CM76/'Est gen ed 23 pos'!CM$123</f>
        <v>0.5</v>
      </c>
      <c r="CN76" s="43">
        <f>'Est gen ed 23 $$'!CN76/'Est gen ed 23 pos'!CN$123</f>
        <v>0</v>
      </c>
      <c r="CO76" s="43">
        <f>'Est gen ed 23 $$'!CO76/'Est gen ed 23 pos'!CO$123</f>
        <v>0</v>
      </c>
      <c r="CP76" s="43">
        <f>'Est gen ed 23 $$'!CP76/'Est gen ed 23 pos'!CP$123</f>
        <v>0</v>
      </c>
      <c r="CQ76" s="43">
        <f>'Est gen ed 23 $$'!CQ76/'Est gen ed 23 pos'!CQ$123</f>
        <v>0.99999604682144683</v>
      </c>
      <c r="CR76" s="43">
        <f>'Est gen ed 23 $$'!CR76/'Est gen ed 23 pos'!CR$123</f>
        <v>0.99999604682144683</v>
      </c>
      <c r="CS76" s="43">
        <f>'Est gen ed 23 $$'!CS76/'Est gen ed 23 pos'!CS$123</f>
        <v>1.4999940702321701</v>
      </c>
      <c r="CT76" s="43">
        <f>'Est gen ed 23 $$'!CT76/'Est gen ed 23 pos'!CT$123</f>
        <v>2</v>
      </c>
      <c r="CU76" s="43">
        <f>'Est gen ed 23 $$'!CU76/'Est gen ed 23 pos'!CU$123</f>
        <v>9</v>
      </c>
      <c r="CZ76" s="43">
        <f>'Est gen ed 23 $$'!CW76/'Est gen ed 23 pos'!CZ$123</f>
        <v>0</v>
      </c>
      <c r="DB76" s="28">
        <f t="shared" si="7"/>
        <v>854139</v>
      </c>
      <c r="DC76" s="28">
        <f t="shared" si="4"/>
        <v>400507.24</v>
      </c>
      <c r="DK76" s="34"/>
      <c r="DL76" s="34"/>
    </row>
    <row r="77" spans="1:116" x14ac:dyDescent="0.2">
      <c r="A77">
        <v>287</v>
      </c>
      <c r="B77" t="s">
        <v>52</v>
      </c>
      <c r="C77" t="s">
        <v>7</v>
      </c>
      <c r="D77">
        <v>3</v>
      </c>
      <c r="E77">
        <f>VLOOKUP($A77,'[1]Init $$'!$B$3:$CG$118,4,FALSE)</f>
        <v>622</v>
      </c>
      <c r="F77">
        <f>VLOOKUP($A77,'[1]Init $$'!$B$3:$CG$118,6,FALSE)</f>
        <v>559</v>
      </c>
      <c r="G77">
        <f>VLOOKUP($A77,'[2]$$xSchpostCouncilxLevel'!$A$4:$EW$120,153,FALSE)</f>
        <v>556</v>
      </c>
      <c r="H77" s="50">
        <f t="shared" si="5"/>
        <v>3</v>
      </c>
      <c r="I77" s="4">
        <f>VLOOKUP($A77,'[1]Init $$'!$B$3:$CG$118,8,FALSE)</f>
        <v>5.7877813504823149E-2</v>
      </c>
      <c r="J77">
        <f>VLOOKUP($A77,'[1]Init $$'!$B$3:$CG$118,7,FALSE)</f>
        <v>36</v>
      </c>
      <c r="K77" s="43">
        <f>'Est gen ed 23 $$'!K77/'Est gen ed 23 pos'!K$123</f>
        <v>1</v>
      </c>
      <c r="L77" s="43">
        <f>'Est gen ed 23 $$'!L77/'Est gen ed 23 pos'!L$123</f>
        <v>0</v>
      </c>
      <c r="M77" s="43">
        <f>'Est gen ed 23 $$'!M77/'Est gen ed 23 pos'!M$123</f>
        <v>0</v>
      </c>
      <c r="N77" s="43">
        <f>'Est gen ed 23 $$'!N77/'Est gen ed 23 pos'!N$123</f>
        <v>1</v>
      </c>
      <c r="O77" s="34">
        <f>VLOOKUP($A77,'[1]Init $$'!$B$3:$CG$118,15,FALSE)</f>
        <v>8488.1</v>
      </c>
      <c r="P77" s="43">
        <f>'Est gen ed 23 $$'!P77/'Est gen ed 23 pos'!P$123</f>
        <v>1</v>
      </c>
      <c r="Q77" s="43">
        <f>'Est gen ed 23 $$'!Q77/'Est gen ed 23 pos'!Q$123</f>
        <v>1</v>
      </c>
      <c r="R77" s="43">
        <f>'Est gen ed 23 $$'!R77/'Est gen ed 23 pos'!R$123</f>
        <v>4.0000003907222226</v>
      </c>
      <c r="S77" s="43">
        <f>'Est gen ed 23 $$'!S77/'Est gen ed 23 pos'!S$123</f>
        <v>1</v>
      </c>
      <c r="T77" s="43">
        <f>'Est gen ed 23 $$'!T77/'Est gen ed 23 pos'!T$123</f>
        <v>0</v>
      </c>
      <c r="U77" s="43">
        <f>'Est gen ed 23 $$'!U77/'Est gen ed 23 pos'!U$123</f>
        <v>0</v>
      </c>
      <c r="V77" s="43">
        <f>'Est gen ed 23 $$'!V77/'Est gen ed 23 pos'!V$123</f>
        <v>2.9999999121515879</v>
      </c>
      <c r="W77" s="43">
        <f>'Est gen ed 23 $$'!W77/'Est gen ed 23 pos'!W$123</f>
        <v>2.9999997446793083</v>
      </c>
      <c r="X77" s="34">
        <f>VLOOKUP($A77,'[1]Init $$'!$B$3:$CG$118,24,FALSE)</f>
        <v>112889.7</v>
      </c>
      <c r="Y77" s="34">
        <f>VLOOKUP($A77,'[1]Init $$'!$B$3:$CG$118,25,FALSE)</f>
        <v>0</v>
      </c>
      <c r="Z77" s="34">
        <f>VLOOKUP($A77,'[1]Init $$'!$B$3:$CG$118,26,FALSE)</f>
        <v>0</v>
      </c>
      <c r="AA77" s="34">
        <f>VLOOKUP($A77,'[1]Init $$'!$B$3:$CG$118,27,FALSE)</f>
        <v>0</v>
      </c>
      <c r="AB77" s="43">
        <f>'Est gen ed 23 $$'!AB77/'Est gen ed 23 pos'!AB$123</f>
        <v>0</v>
      </c>
      <c r="AC77" s="43">
        <f>'Est gen ed 23 $$'!AC77/'Est gen ed 23 pos'!AC$123</f>
        <v>0</v>
      </c>
      <c r="AD77" s="43">
        <f>'Est gen ed 23 $$'!AD77/'Est gen ed 23 pos'!AD$123</f>
        <v>0</v>
      </c>
      <c r="AE77" s="43">
        <f>'Est gen ed 23 $$'!AE77/'Est gen ed 23 pos'!AE$123</f>
        <v>0</v>
      </c>
      <c r="AF77" s="34">
        <f>VLOOKUP($A77,'[1]Init $$'!$B$3:$CG$118,32,FALSE)</f>
        <v>3338907</v>
      </c>
      <c r="AG77" s="34">
        <f>VLOOKUP($A77,'[1]Init $$'!$B$3:$CG$118,33,FALSE)</f>
        <v>202150</v>
      </c>
      <c r="AH77" s="43">
        <f>'Est gen ed 23 $$'!AH77/'Est gen ed 23 pos'!AH$123</f>
        <v>1</v>
      </c>
      <c r="AI77" s="43">
        <f>'Est gen ed 23 $$'!AI77/'Est gen ed 23 pos'!AI$123</f>
        <v>1.9999999121515879</v>
      </c>
      <c r="AJ77" s="43">
        <f>'Est gen ed 23 $$'!AJ77/'Est gen ed 23 pos'!AJ$123</f>
        <v>3.9999998243031758</v>
      </c>
      <c r="AK77" s="43">
        <f>'Est gen ed 23 $$'!AK77/'Est gen ed 23 pos'!AK$123</f>
        <v>3.9999998243031758</v>
      </c>
      <c r="AL77" s="43">
        <f>'Est gen ed 23 $$'!AL77/'Est gen ed 23 pos'!AL$123</f>
        <v>5.9999994893586166</v>
      </c>
      <c r="AM77" s="43">
        <f>'Est gen ed 23 $$'!AM77/'Est gen ed 23 pos'!AM$123</f>
        <v>0</v>
      </c>
      <c r="AN77" s="43">
        <f>'Est gen ed 23 $$'!AN77/'Est gen ed 23 pos'!AN$123</f>
        <v>0</v>
      </c>
      <c r="AO77" s="43">
        <f>'Est gen ed 23 $$'!AO77/'Est gen ed 23 pos'!AO$123</f>
        <v>0</v>
      </c>
      <c r="AP77" s="34">
        <f>VLOOKUP($A77,'[1]Init $$'!$B$3:$CG$118,42,FALSE)</f>
        <v>87803.1</v>
      </c>
      <c r="AQ77" s="34">
        <f>VLOOKUP($A77,'[1]Init $$'!$B$3:$CG$118,43,FALSE)</f>
        <v>0</v>
      </c>
      <c r="AR77" s="43">
        <f>'Est gen ed 23 $$'!AR77/'Est gen ed 23 pos'!AR$123</f>
        <v>3.9999998243031758</v>
      </c>
      <c r="AS77" s="43">
        <f>'Est gen ed 23 $$'!AS77/'Est gen ed 23 pos'!AS$123</f>
        <v>0</v>
      </c>
      <c r="AT77" s="43">
        <f>'Est gen ed 23 $$'!AT77/'Est gen ed 23 pos'!AT$123</f>
        <v>0</v>
      </c>
      <c r="AU77" s="34">
        <f>VLOOKUP($A77,'[1]Init $$'!$B$3:$CG$118,47,FALSE)</f>
        <v>139768.20000000001</v>
      </c>
      <c r="AV77" s="34">
        <f>VLOOKUP($A77,'[1]Init $$'!$B$3:$CG$118,48,FALSE)</f>
        <v>0</v>
      </c>
      <c r="AW77" s="34">
        <f>VLOOKUP($A77,'[1]Init $$'!$B$3:$CG$118,49,FALSE)</f>
        <v>0</v>
      </c>
      <c r="AX77" s="34">
        <f>VLOOKUP($A77,'[1]Init $$'!$B$3:$CG$118,50,FALSE)</f>
        <v>0</v>
      </c>
      <c r="AY77" s="34">
        <f>VLOOKUP($A77,'[1]Init $$'!$B$3:$CG$118,51,FALSE)</f>
        <v>0</v>
      </c>
      <c r="AZ77" s="34">
        <f>VLOOKUP($A77,'[1]Init $$'!$B$3:$CG$118,52,FALSE)</f>
        <v>0</v>
      </c>
      <c r="BA77" s="34">
        <f>VLOOKUP($A77,'[1]Init $$'!$B$3:$CG$118,53,FALSE)</f>
        <v>0</v>
      </c>
      <c r="BB77" s="34">
        <f>VLOOKUP($A77,'[1]Init $$'!$B$3:$CG$118,54,FALSE)</f>
        <v>0</v>
      </c>
      <c r="BC77" s="34">
        <f>VLOOKUP($A77,'[1]Init $$'!$B$3:$CG$118,55,FALSE)</f>
        <v>0</v>
      </c>
      <c r="BD77" s="34">
        <f>VLOOKUP($A77,'[1]Init $$'!$B$3:$CG$118,56,FALSE)</f>
        <v>0</v>
      </c>
      <c r="BE77" s="34">
        <f>VLOOKUP($A77,'[1]Init $$'!$B$3:$CG$118,57,FALSE)</f>
        <v>15550</v>
      </c>
      <c r="BF77" s="43">
        <f>'Est gen ed 23 $$'!BF77/'Est gen ed 23 pos'!BF$123</f>
        <v>0</v>
      </c>
      <c r="BG77" s="43">
        <f>'Est gen ed 23 $$'!BG77/'Est gen ed 23 pos'!BG$123</f>
        <v>0</v>
      </c>
      <c r="BH77" s="34">
        <f>VLOOKUP($A77,'[1]Init $$'!$B$3:$CG$118,60,FALSE)</f>
        <v>0</v>
      </c>
      <c r="BI77" s="34">
        <f>VLOOKUP($A77,'[1]Init $$'!$B$3:$CG$118,61,FALSE)</f>
        <v>0</v>
      </c>
      <c r="BJ77" s="34">
        <f>VLOOKUP($A77,'[1]Init $$'!$B$3:$CG$118,62,FALSE)</f>
        <v>0</v>
      </c>
      <c r="BK77" s="43">
        <f>'Est gen ed 23 $$'!BK77/'Est gen ed 23 pos'!BK$123</f>
        <v>0</v>
      </c>
      <c r="BL77" s="34">
        <f>VLOOKUP($A77,'[1]Init $$'!$B$3:$CG$118,64,FALSE)</f>
        <v>0</v>
      </c>
      <c r="BM77" s="43">
        <f>'Est gen ed 23 $$'!BM77/'Est gen ed 23 pos'!BM$123</f>
        <v>0</v>
      </c>
      <c r="BN77" s="34">
        <f>VLOOKUP($A77,'[1]Init $$'!$B$3:$CG$118,66,FALSE)</f>
        <v>0</v>
      </c>
      <c r="BO77" s="43">
        <f>'Est gen ed 23 $$'!BO77/'Est gen ed 23 pos'!BO$123</f>
        <v>0</v>
      </c>
      <c r="BP77" s="34">
        <f>VLOOKUP($A77,'[1]Init $$'!$B$3:$CG$118,68,FALSE)</f>
        <v>0</v>
      </c>
      <c r="BQ77" s="43">
        <f>'Est gen ed 23 $$'!BQ77/'Est gen ed 23 pos'!BQ$123</f>
        <v>0</v>
      </c>
      <c r="BR77" s="43">
        <f>'Est gen ed 23 $$'!BR77/'Est gen ed 23 pos'!BR$123</f>
        <v>0</v>
      </c>
      <c r="BS77" s="34">
        <f>VLOOKUP($A77,'[1]Init $$'!$B$3:$CG$118,71,FALSE)</f>
        <v>0</v>
      </c>
      <c r="BT77" s="34">
        <f>VLOOKUP($A77,'[1]Init $$'!$B$3:$CG$118,72,FALSE)</f>
        <v>0</v>
      </c>
      <c r="BU77" s="34">
        <f>VLOOKUP($A77,'[1]Init $$'!$B$3:$CG$118,73,FALSE)</f>
        <v>0</v>
      </c>
      <c r="BV77" s="34">
        <f>VLOOKUP($A77,'[1]Init $$'!$B$3:$CG$118,74,FALSE)</f>
        <v>0</v>
      </c>
      <c r="BW77" s="34">
        <f>VLOOKUP($A77,'[1]Init $$'!$B$3:$CG$118,75,FALSE)</f>
        <v>0</v>
      </c>
      <c r="BX77" s="43">
        <f>'Est gen ed 23 $$'!BX77/'Est gen ed 23 pos'!BX$123</f>
        <v>0</v>
      </c>
      <c r="BY77" s="43">
        <f>'Est gen ed 23 $$'!BY77/'Est gen ed 23 pos'!BY$123</f>
        <v>0</v>
      </c>
      <c r="BZ77" s="43">
        <f>'Est gen ed 23 $$'!BZ77/'Est gen ed 23 pos'!BZ$123</f>
        <v>0</v>
      </c>
      <c r="CA77" s="34">
        <f>VLOOKUP($A77,'[1]Init $$'!$B$3:$CG$118,79,FALSE)</f>
        <v>96570.14</v>
      </c>
      <c r="CB77" s="34">
        <f>VLOOKUP($A77,'[1]Init $$'!$B$3:$CG$118,80,FALSE)</f>
        <v>0</v>
      </c>
      <c r="CC77" s="34">
        <f>VLOOKUP($A77,'[1]Init $$'!$B$3:$CG$118,81,FALSE)</f>
        <v>80653.88</v>
      </c>
      <c r="CD77" s="34">
        <f>VLOOKUP($A77,'[1]Init $$'!$B$3:$CG$118,82,FALSE)</f>
        <v>248068.81</v>
      </c>
      <c r="CE77" s="34">
        <f>VLOOKUP($A77,'[1]Init $$'!$B$3:$CG$118,83,FALSE)</f>
        <v>4710.3500000000004</v>
      </c>
      <c r="CF77" s="34">
        <f>VLOOKUP($A77,'[1]Init $$'!$B$3:$CG$118,84,FALSE)</f>
        <v>0</v>
      </c>
      <c r="CJ77" s="28">
        <f t="shared" si="6"/>
        <v>4335595.2799989218</v>
      </c>
      <c r="CK77" s="43">
        <f>'Est gen ed 23 $$'!CK77/'Est gen ed 23 pos'!CK$123</f>
        <v>0.99999604682144683</v>
      </c>
      <c r="CL77" s="43">
        <f>'Est gen ed 23 $$'!CL77/'Est gen ed 23 pos'!CL$123</f>
        <v>1.5549999999999999</v>
      </c>
      <c r="CM77" s="43">
        <f>'Est gen ed 23 $$'!CM77/'Est gen ed 23 pos'!CM$123</f>
        <v>1</v>
      </c>
      <c r="CN77" s="43">
        <f>'Est gen ed 23 $$'!CN77/'Est gen ed 23 pos'!CN$123</f>
        <v>0.64308681672025714</v>
      </c>
      <c r="CO77" s="43">
        <f>'Est gen ed 23 $$'!CO77/'Est gen ed 23 pos'!CO$123</f>
        <v>0</v>
      </c>
      <c r="CP77" s="43">
        <f>'Est gen ed 23 $$'!CP77/'Est gen ed 23 pos'!CP$123</f>
        <v>0</v>
      </c>
      <c r="CQ77" s="43">
        <f>'Est gen ed 23 $$'!CQ77/'Est gen ed 23 pos'!CQ$123</f>
        <v>1.4999940702321701</v>
      </c>
      <c r="CR77" s="43">
        <f>'Est gen ed 23 $$'!CR77/'Est gen ed 23 pos'!CR$123</f>
        <v>1.4999940702321701</v>
      </c>
      <c r="CS77" s="43">
        <f>'Est gen ed 23 $$'!CS77/'Est gen ed 23 pos'!CS$123</f>
        <v>2.499990117053617</v>
      </c>
      <c r="CT77" s="43">
        <f>'Est gen ed 23 $$'!CT77/'Est gen ed 23 pos'!CT$123</f>
        <v>4</v>
      </c>
      <c r="CU77" s="43">
        <f>'Est gen ed 23 $$'!CU77/'Est gen ed 23 pos'!CU$123</f>
        <v>28</v>
      </c>
      <c r="CZ77" s="43">
        <f>'Est gen ed 23 $$'!CW77/'Est gen ed 23 pos'!CZ$123</f>
        <v>0</v>
      </c>
      <c r="DB77" s="28">
        <f t="shared" si="7"/>
        <v>3338907</v>
      </c>
      <c r="DC77" s="28">
        <f t="shared" si="4"/>
        <v>333433.03999999998</v>
      </c>
      <c r="DK77" s="34"/>
      <c r="DL77" s="34"/>
    </row>
    <row r="78" spans="1:116" x14ac:dyDescent="0.2">
      <c r="A78">
        <v>288</v>
      </c>
      <c r="B78" t="s">
        <v>51</v>
      </c>
      <c r="C78" t="s">
        <v>7</v>
      </c>
      <c r="D78">
        <v>7</v>
      </c>
      <c r="E78">
        <f>VLOOKUP($A78,'[1]Init $$'!$B$3:$CG$118,4,FALSE)</f>
        <v>309</v>
      </c>
      <c r="F78">
        <f>VLOOKUP($A78,'[1]Init $$'!$B$3:$CG$118,6,FALSE)</f>
        <v>225</v>
      </c>
      <c r="G78">
        <f>VLOOKUP($A78,'[2]$$xSchpostCouncilxLevel'!$A$4:$EW$120,153,FALSE)</f>
        <v>235</v>
      </c>
      <c r="H78" s="50">
        <f t="shared" si="5"/>
        <v>-10</v>
      </c>
      <c r="I78" s="4">
        <f>VLOOKUP($A78,'[1]Init $$'!$B$3:$CG$118,8,FALSE)</f>
        <v>0.72491909385113273</v>
      </c>
      <c r="J78">
        <f>VLOOKUP($A78,'[1]Init $$'!$B$3:$CG$118,7,FALSE)</f>
        <v>224</v>
      </c>
      <c r="K78" s="43">
        <f>'Est gen ed 23 $$'!K78/'Est gen ed 23 pos'!K$123</f>
        <v>1</v>
      </c>
      <c r="L78" s="43">
        <f>'Est gen ed 23 $$'!L78/'Est gen ed 23 pos'!L$123</f>
        <v>0</v>
      </c>
      <c r="M78" s="43">
        <f>'Est gen ed 23 $$'!M78/'Est gen ed 23 pos'!M$123</f>
        <v>0</v>
      </c>
      <c r="N78" s="43">
        <f>'Est gen ed 23 $$'!N78/'Est gen ed 23 pos'!N$123</f>
        <v>1</v>
      </c>
      <c r="O78" s="34">
        <f>VLOOKUP($A78,'[1]Init $$'!$B$3:$CG$118,15,FALSE)</f>
        <v>5527.4</v>
      </c>
      <c r="P78" s="43">
        <f>'Est gen ed 23 $$'!P78/'Est gen ed 23 pos'!P$123</f>
        <v>1</v>
      </c>
      <c r="Q78" s="43">
        <f>'Est gen ed 23 $$'!Q78/'Est gen ed 23 pos'!Q$123</f>
        <v>1</v>
      </c>
      <c r="R78" s="43">
        <f>'Est gen ed 23 $$'!R78/'Est gen ed 23 pos'!R$123</f>
        <v>2.0000001953611113</v>
      </c>
      <c r="S78" s="43">
        <f>'Est gen ed 23 $$'!S78/'Est gen ed 23 pos'!S$123</f>
        <v>1</v>
      </c>
      <c r="T78" s="43">
        <f>'Est gen ed 23 $$'!T78/'Est gen ed 23 pos'!T$123</f>
        <v>0</v>
      </c>
      <c r="U78" s="43">
        <f>'Est gen ed 23 $$'!U78/'Est gen ed 23 pos'!U$123</f>
        <v>5.9999998243031758</v>
      </c>
      <c r="V78" s="43">
        <f>'Est gen ed 23 $$'!V78/'Est gen ed 23 pos'!V$123</f>
        <v>0</v>
      </c>
      <c r="W78" s="43">
        <f>'Est gen ed 23 $$'!W78/'Est gen ed 23 pos'!W$123</f>
        <v>5.9999994893586166</v>
      </c>
      <c r="X78" s="34">
        <f>VLOOKUP($A78,'[1]Init $$'!$B$3:$CG$118,24,FALSE)</f>
        <v>150519.6</v>
      </c>
      <c r="Y78" s="34">
        <f>VLOOKUP($A78,'[1]Init $$'!$B$3:$CG$118,25,FALSE)</f>
        <v>0</v>
      </c>
      <c r="Z78" s="34">
        <f>VLOOKUP($A78,'[1]Init $$'!$B$3:$CG$118,26,FALSE)</f>
        <v>0</v>
      </c>
      <c r="AA78" s="34">
        <f>VLOOKUP($A78,'[1]Init $$'!$B$3:$CG$118,27,FALSE)</f>
        <v>0</v>
      </c>
      <c r="AB78" s="43">
        <f>'Est gen ed 23 $$'!AB78/'Est gen ed 23 pos'!AB$123</f>
        <v>0</v>
      </c>
      <c r="AC78" s="43">
        <f>'Est gen ed 23 $$'!AC78/'Est gen ed 23 pos'!AC$123</f>
        <v>0</v>
      </c>
      <c r="AD78" s="43">
        <f>'Est gen ed 23 $$'!AD78/'Est gen ed 23 pos'!AD$123</f>
        <v>0</v>
      </c>
      <c r="AE78" s="43">
        <f>'Est gen ed 23 $$'!AE78/'Est gen ed 23 pos'!AE$123</f>
        <v>0</v>
      </c>
      <c r="AF78" s="34">
        <f>VLOOKUP($A78,'[1]Init $$'!$B$3:$CG$118,32,FALSE)</f>
        <v>1343925</v>
      </c>
      <c r="AG78" s="34">
        <f>VLOOKUP($A78,'[1]Init $$'!$B$3:$CG$118,33,FALSE)</f>
        <v>100425</v>
      </c>
      <c r="AH78" s="43">
        <f>'Est gen ed 23 $$'!AH78/'Est gen ed 23 pos'!AH$123</f>
        <v>1</v>
      </c>
      <c r="AI78" s="43">
        <f>'Est gen ed 23 $$'!AI78/'Est gen ed 23 pos'!AI$123</f>
        <v>1</v>
      </c>
      <c r="AJ78" s="43">
        <f>'Est gen ed 23 $$'!AJ78/'Est gen ed 23 pos'!AJ$123</f>
        <v>2.9999999121515879</v>
      </c>
      <c r="AK78" s="43">
        <f>'Est gen ed 23 $$'!AK78/'Est gen ed 23 pos'!AK$123</f>
        <v>2.9999999121515879</v>
      </c>
      <c r="AL78" s="43">
        <f>'Est gen ed 23 $$'!AL78/'Est gen ed 23 pos'!AL$123</f>
        <v>5.9999994893586166</v>
      </c>
      <c r="AM78" s="43">
        <f>'Est gen ed 23 $$'!AM78/'Est gen ed 23 pos'!AM$123</f>
        <v>0</v>
      </c>
      <c r="AN78" s="43">
        <f>'Est gen ed 23 $$'!AN78/'Est gen ed 23 pos'!AN$123</f>
        <v>0</v>
      </c>
      <c r="AO78" s="43">
        <f>'Est gen ed 23 $$'!AO78/'Est gen ed 23 pos'!AO$123</f>
        <v>0</v>
      </c>
      <c r="AP78" s="34">
        <f>VLOOKUP($A78,'[1]Init $$'!$B$3:$CG$118,42,FALSE)</f>
        <v>116473.5</v>
      </c>
      <c r="AQ78" s="34">
        <f>VLOOKUP($A78,'[1]Init $$'!$B$3:$CG$118,43,FALSE)</f>
        <v>0</v>
      </c>
      <c r="AR78" s="43">
        <f>'Est gen ed 23 $$'!AR78/'Est gen ed 23 pos'!AR$123</f>
        <v>1.9999999121515879</v>
      </c>
      <c r="AS78" s="43">
        <f>'Est gen ed 23 $$'!AS78/'Est gen ed 23 pos'!AS$123</f>
        <v>0</v>
      </c>
      <c r="AT78" s="43">
        <f>'Est gen ed 23 $$'!AT78/'Est gen ed 23 pos'!AT$123</f>
        <v>0</v>
      </c>
      <c r="AU78" s="34">
        <f>VLOOKUP($A78,'[1]Init $$'!$B$3:$CG$118,47,FALSE)</f>
        <v>60924.6</v>
      </c>
      <c r="AV78" s="34">
        <f>VLOOKUP($A78,'[1]Init $$'!$B$3:$CG$118,48,FALSE)</f>
        <v>0</v>
      </c>
      <c r="AW78" s="34">
        <f>VLOOKUP($A78,'[1]Init $$'!$B$3:$CG$118,49,FALSE)</f>
        <v>0</v>
      </c>
      <c r="AX78" s="34">
        <f>VLOOKUP($A78,'[1]Init $$'!$B$3:$CG$118,50,FALSE)</f>
        <v>0</v>
      </c>
      <c r="AY78" s="34">
        <f>VLOOKUP($A78,'[1]Init $$'!$B$3:$CG$118,51,FALSE)</f>
        <v>0</v>
      </c>
      <c r="AZ78" s="34">
        <f>VLOOKUP($A78,'[1]Init $$'!$B$3:$CG$118,52,FALSE)</f>
        <v>0</v>
      </c>
      <c r="BA78" s="34">
        <f>VLOOKUP($A78,'[1]Init $$'!$B$3:$CG$118,53,FALSE)</f>
        <v>0</v>
      </c>
      <c r="BB78" s="34">
        <f>VLOOKUP($A78,'[1]Init $$'!$B$3:$CG$118,54,FALSE)</f>
        <v>0</v>
      </c>
      <c r="BC78" s="34">
        <f>VLOOKUP($A78,'[1]Init $$'!$B$3:$CG$118,55,FALSE)</f>
        <v>166250.85999999999</v>
      </c>
      <c r="BD78" s="34">
        <f>VLOOKUP($A78,'[1]Init $$'!$B$3:$CG$118,56,FALSE)</f>
        <v>2677.89</v>
      </c>
      <c r="BE78" s="34">
        <f>VLOOKUP($A78,'[1]Init $$'!$B$3:$CG$118,57,FALSE)</f>
        <v>0</v>
      </c>
      <c r="BF78" s="43">
        <f>'Est gen ed 23 $$'!BF78/'Est gen ed 23 pos'!BF$123</f>
        <v>0</v>
      </c>
      <c r="BG78" s="43">
        <f>'Est gen ed 23 $$'!BG78/'Est gen ed 23 pos'!BG$123</f>
        <v>0</v>
      </c>
      <c r="BH78" s="34">
        <f>VLOOKUP($A78,'[1]Init $$'!$B$3:$CG$118,60,FALSE)</f>
        <v>0</v>
      </c>
      <c r="BI78" s="34">
        <f>VLOOKUP($A78,'[1]Init $$'!$B$3:$CG$118,61,FALSE)</f>
        <v>0</v>
      </c>
      <c r="BJ78" s="34">
        <f>VLOOKUP($A78,'[1]Init $$'!$B$3:$CG$118,62,FALSE)</f>
        <v>0</v>
      </c>
      <c r="BK78" s="43">
        <f>'Est gen ed 23 $$'!BK78/'Est gen ed 23 pos'!BK$123</f>
        <v>0</v>
      </c>
      <c r="BL78" s="34">
        <f>VLOOKUP($A78,'[1]Init $$'!$B$3:$CG$118,64,FALSE)</f>
        <v>0</v>
      </c>
      <c r="BM78" s="43">
        <f>'Est gen ed 23 $$'!BM78/'Est gen ed 23 pos'!BM$123</f>
        <v>0</v>
      </c>
      <c r="BN78" s="34">
        <f>VLOOKUP($A78,'[1]Init $$'!$B$3:$CG$118,66,FALSE)</f>
        <v>0</v>
      </c>
      <c r="BO78" s="43">
        <f>'Est gen ed 23 $$'!BO78/'Est gen ed 23 pos'!BO$123</f>
        <v>0</v>
      </c>
      <c r="BP78" s="34">
        <f>VLOOKUP($A78,'[1]Init $$'!$B$3:$CG$118,68,FALSE)</f>
        <v>0</v>
      </c>
      <c r="BQ78" s="43">
        <f>'Est gen ed 23 $$'!BQ78/'Est gen ed 23 pos'!BQ$123</f>
        <v>0</v>
      </c>
      <c r="BR78" s="43">
        <f>'Est gen ed 23 $$'!BR78/'Est gen ed 23 pos'!BR$123</f>
        <v>0</v>
      </c>
      <c r="BS78" s="34">
        <f>VLOOKUP($A78,'[1]Init $$'!$B$3:$CG$118,71,FALSE)</f>
        <v>0</v>
      </c>
      <c r="BT78" s="34">
        <f>VLOOKUP($A78,'[1]Init $$'!$B$3:$CG$118,72,FALSE)</f>
        <v>0</v>
      </c>
      <c r="BU78" s="34">
        <f>VLOOKUP($A78,'[1]Init $$'!$B$3:$CG$118,73,FALSE)</f>
        <v>0</v>
      </c>
      <c r="BV78" s="34">
        <f>VLOOKUP($A78,'[1]Init $$'!$B$3:$CG$118,74,FALSE)</f>
        <v>0</v>
      </c>
      <c r="BW78" s="34">
        <f>VLOOKUP($A78,'[1]Init $$'!$B$3:$CG$118,75,FALSE)</f>
        <v>0</v>
      </c>
      <c r="BX78" s="43">
        <f>'Est gen ed 23 $$'!BX78/'Est gen ed 23 pos'!BX$123</f>
        <v>0</v>
      </c>
      <c r="BY78" s="43">
        <f>'Est gen ed 23 $$'!BY78/'Est gen ed 23 pos'!BY$123</f>
        <v>0</v>
      </c>
      <c r="BZ78" s="43">
        <f>'Est gen ed 23 $$'!BZ78/'Est gen ed 23 pos'!BZ$123</f>
        <v>0</v>
      </c>
      <c r="CA78" s="34">
        <f>VLOOKUP($A78,'[1]Init $$'!$B$3:$CG$118,79,FALSE)</f>
        <v>600880.9</v>
      </c>
      <c r="CB78" s="34">
        <f>VLOOKUP($A78,'[1]Init $$'!$B$3:$CG$118,80,FALSE)</f>
        <v>119937.84</v>
      </c>
      <c r="CC78" s="34">
        <f>VLOOKUP($A78,'[1]Init $$'!$B$3:$CG$118,81,FALSE)</f>
        <v>0</v>
      </c>
      <c r="CD78" s="34">
        <f>VLOOKUP($A78,'[1]Init $$'!$B$3:$CG$118,82,FALSE)</f>
        <v>0</v>
      </c>
      <c r="CE78" s="34">
        <f>VLOOKUP($A78,'[1]Init $$'!$B$3:$CG$118,83,FALSE)</f>
        <v>83167.520000000004</v>
      </c>
      <c r="CF78" s="34">
        <f>VLOOKUP($A78,'[1]Init $$'!$B$3:$CG$118,84,FALSE)</f>
        <v>0</v>
      </c>
      <c r="CJ78" s="28">
        <f t="shared" si="6"/>
        <v>2750745.1099987351</v>
      </c>
      <c r="CK78" s="43">
        <f>'Est gen ed 23 $$'!CK78/'Est gen ed 23 pos'!CK$123</f>
        <v>0.99999604682144683</v>
      </c>
      <c r="CL78" s="43">
        <f>'Est gen ed 23 $$'!CL78/'Est gen ed 23 pos'!CL$123</f>
        <v>0.77249999999999996</v>
      </c>
      <c r="CM78" s="43">
        <f>'Est gen ed 23 $$'!CM78/'Est gen ed 23 pos'!CM$123</f>
        <v>1</v>
      </c>
      <c r="CN78" s="43">
        <f>'Est gen ed 23 $$'!CN78/'Est gen ed 23 pos'!CN$123</f>
        <v>0</v>
      </c>
      <c r="CO78" s="43">
        <f>'Est gen ed 23 $$'!CO78/'Est gen ed 23 pos'!CO$123</f>
        <v>0</v>
      </c>
      <c r="CP78" s="43">
        <f>'Est gen ed 23 $$'!CP78/'Est gen ed 23 pos'!CP$123</f>
        <v>0</v>
      </c>
      <c r="CQ78" s="43">
        <f>'Est gen ed 23 $$'!CQ78/'Est gen ed 23 pos'!CQ$123</f>
        <v>0.99999604682144683</v>
      </c>
      <c r="CR78" s="43">
        <f>'Est gen ed 23 $$'!CR78/'Est gen ed 23 pos'!CR$123</f>
        <v>0.99999604682144683</v>
      </c>
      <c r="CS78" s="43">
        <f>'Est gen ed 23 $$'!CS78/'Est gen ed 23 pos'!CS$123</f>
        <v>1.4999940702321701</v>
      </c>
      <c r="CT78" s="43">
        <f>'Est gen ed 23 $$'!CT78/'Est gen ed 23 pos'!CT$123</f>
        <v>2</v>
      </c>
      <c r="CU78" s="43">
        <f>'Est gen ed 23 $$'!CU78/'Est gen ed 23 pos'!CU$123</f>
        <v>14</v>
      </c>
      <c r="CZ78" s="43">
        <f>'Est gen ed 23 $$'!CW78/'Est gen ed 23 pos'!CZ$123</f>
        <v>0</v>
      </c>
      <c r="DB78" s="28">
        <f t="shared" si="7"/>
        <v>1343925</v>
      </c>
      <c r="DC78" s="28">
        <f t="shared" si="4"/>
        <v>83167.520000000004</v>
      </c>
      <c r="DK78" s="34"/>
      <c r="DL78" s="34"/>
    </row>
    <row r="79" spans="1:116" x14ac:dyDescent="0.2">
      <c r="A79">
        <v>290</v>
      </c>
      <c r="B79" t="s">
        <v>50</v>
      </c>
      <c r="C79" t="s">
        <v>7</v>
      </c>
      <c r="D79">
        <v>5</v>
      </c>
      <c r="E79">
        <f>VLOOKUP($A79,'[1]Init $$'!$B$3:$CG$118,4,FALSE)</f>
        <v>264</v>
      </c>
      <c r="F79">
        <f>VLOOKUP($A79,'[1]Init $$'!$B$3:$CG$118,6,FALSE)</f>
        <v>215</v>
      </c>
      <c r="G79">
        <f>VLOOKUP($A79,'[2]$$xSchpostCouncilxLevel'!$A$4:$EW$120,153,FALSE)</f>
        <v>175</v>
      </c>
      <c r="H79" s="50">
        <f t="shared" si="5"/>
        <v>40</v>
      </c>
      <c r="I79" s="4">
        <f>VLOOKUP($A79,'[1]Init $$'!$B$3:$CG$118,8,FALSE)</f>
        <v>0.69696969696969702</v>
      </c>
      <c r="J79">
        <f>VLOOKUP($A79,'[1]Init $$'!$B$3:$CG$118,7,FALSE)</f>
        <v>184</v>
      </c>
      <c r="K79" s="43">
        <f>'Est gen ed 23 $$'!K79/'Est gen ed 23 pos'!K$123</f>
        <v>1</v>
      </c>
      <c r="L79" s="43">
        <f>'Est gen ed 23 $$'!L79/'Est gen ed 23 pos'!L$123</f>
        <v>0</v>
      </c>
      <c r="M79" s="43">
        <f>'Est gen ed 23 $$'!M79/'Est gen ed 23 pos'!M$123</f>
        <v>0</v>
      </c>
      <c r="N79" s="43">
        <f>'Est gen ed 23 $$'!N79/'Est gen ed 23 pos'!N$123</f>
        <v>1</v>
      </c>
      <c r="O79" s="34">
        <f>VLOOKUP($A79,'[1]Init $$'!$B$3:$CG$118,15,FALSE)</f>
        <v>5031</v>
      </c>
      <c r="P79" s="43">
        <f>'Est gen ed 23 $$'!P79/'Est gen ed 23 pos'!P$123</f>
        <v>1</v>
      </c>
      <c r="Q79" s="43">
        <f>'Est gen ed 23 $$'!Q79/'Est gen ed 23 pos'!Q$123</f>
        <v>1</v>
      </c>
      <c r="R79" s="43">
        <f>'Est gen ed 23 $$'!R79/'Est gen ed 23 pos'!R$123</f>
        <v>1</v>
      </c>
      <c r="S79" s="43">
        <f>'Est gen ed 23 $$'!S79/'Est gen ed 23 pos'!S$123</f>
        <v>1</v>
      </c>
      <c r="T79" s="43">
        <f>'Est gen ed 23 $$'!T79/'Est gen ed 23 pos'!T$123</f>
        <v>1.9999999121515879</v>
      </c>
      <c r="U79" s="43">
        <f>'Est gen ed 23 $$'!U79/'Est gen ed 23 pos'!U$123</f>
        <v>1</v>
      </c>
      <c r="V79" s="43">
        <f>'Est gen ed 23 $$'!V79/'Est gen ed 23 pos'!V$123</f>
        <v>1</v>
      </c>
      <c r="W79" s="43">
        <f>'Est gen ed 23 $$'!W79/'Est gen ed 23 pos'!W$123</f>
        <v>3.9999997446793079</v>
      </c>
      <c r="X79" s="34">
        <f>VLOOKUP($A79,'[1]Init $$'!$B$3:$CG$118,24,FALSE)</f>
        <v>87803.1</v>
      </c>
      <c r="Y79" s="34">
        <f>VLOOKUP($A79,'[1]Init $$'!$B$3:$CG$118,25,FALSE)</f>
        <v>0</v>
      </c>
      <c r="Z79" s="34">
        <f>VLOOKUP($A79,'[1]Init $$'!$B$3:$CG$118,26,FALSE)</f>
        <v>0</v>
      </c>
      <c r="AA79" s="34">
        <f>VLOOKUP($A79,'[1]Init $$'!$B$3:$CG$118,27,FALSE)</f>
        <v>0</v>
      </c>
      <c r="AB79" s="43">
        <f>'Est gen ed 23 $$'!AB79/'Est gen ed 23 pos'!AB$123</f>
        <v>0</v>
      </c>
      <c r="AC79" s="43">
        <f>'Est gen ed 23 $$'!AC79/'Est gen ed 23 pos'!AC$123</f>
        <v>0</v>
      </c>
      <c r="AD79" s="43">
        <f>'Est gen ed 23 $$'!AD79/'Est gen ed 23 pos'!AD$123</f>
        <v>0</v>
      </c>
      <c r="AE79" s="43">
        <f>'Est gen ed 23 $$'!AE79/'Est gen ed 23 pos'!AE$123</f>
        <v>0</v>
      </c>
      <c r="AF79" s="34">
        <f>VLOOKUP($A79,'[1]Init $$'!$B$3:$CG$118,32,FALSE)</f>
        <v>1284195</v>
      </c>
      <c r="AG79" s="34">
        <f>VLOOKUP($A79,'[1]Init $$'!$B$3:$CG$118,33,FALSE)</f>
        <v>85800</v>
      </c>
      <c r="AH79" s="43">
        <f>'Est gen ed 23 $$'!AH79/'Est gen ed 23 pos'!AH$123</f>
        <v>1</v>
      </c>
      <c r="AI79" s="43">
        <f>'Est gen ed 23 $$'!AI79/'Est gen ed 23 pos'!AI$123</f>
        <v>1</v>
      </c>
      <c r="AJ79" s="43">
        <f>'Est gen ed 23 $$'!AJ79/'Est gen ed 23 pos'!AJ$123</f>
        <v>2.9999999121515879</v>
      </c>
      <c r="AK79" s="43">
        <f>'Est gen ed 23 $$'!AK79/'Est gen ed 23 pos'!AK$123</f>
        <v>3.9999998243031758</v>
      </c>
      <c r="AL79" s="43">
        <f>'Est gen ed 23 $$'!AL79/'Est gen ed 23 pos'!AL$123</f>
        <v>5.9999994893586166</v>
      </c>
      <c r="AM79" s="43">
        <f>'Est gen ed 23 $$'!AM79/'Est gen ed 23 pos'!AM$123</f>
        <v>0</v>
      </c>
      <c r="AN79" s="43">
        <f>'Est gen ed 23 $$'!AN79/'Est gen ed 23 pos'!AN$123</f>
        <v>0</v>
      </c>
      <c r="AO79" s="43">
        <f>'Est gen ed 23 $$'!AO79/'Est gen ed 23 pos'!AO$123</f>
        <v>0</v>
      </c>
      <c r="AP79" s="34">
        <f>VLOOKUP($A79,'[1]Init $$'!$B$3:$CG$118,42,FALSE)</f>
        <v>86011.199999999997</v>
      </c>
      <c r="AQ79" s="34">
        <f>VLOOKUP($A79,'[1]Init $$'!$B$3:$CG$118,43,FALSE)</f>
        <v>0</v>
      </c>
      <c r="AR79" s="43">
        <f>'Est gen ed 23 $$'!AR79/'Est gen ed 23 pos'!AR$123</f>
        <v>1.9999999121515879</v>
      </c>
      <c r="AS79" s="43">
        <f>'Est gen ed 23 $$'!AS79/'Est gen ed 23 pos'!AS$123</f>
        <v>0</v>
      </c>
      <c r="AT79" s="43">
        <f>'Est gen ed 23 $$'!AT79/'Est gen ed 23 pos'!AT$123</f>
        <v>0</v>
      </c>
      <c r="AU79" s="34">
        <f>VLOOKUP($A79,'[1]Init $$'!$B$3:$CG$118,47,FALSE)</f>
        <v>60924.6</v>
      </c>
      <c r="AV79" s="34">
        <f>VLOOKUP($A79,'[1]Init $$'!$B$3:$CG$118,48,FALSE)</f>
        <v>13600</v>
      </c>
      <c r="AW79" s="34">
        <f>VLOOKUP($A79,'[1]Init $$'!$B$3:$CG$118,49,FALSE)</f>
        <v>13600</v>
      </c>
      <c r="AX79" s="34">
        <f>VLOOKUP($A79,'[1]Init $$'!$B$3:$CG$118,50,FALSE)</f>
        <v>10200</v>
      </c>
      <c r="AY79" s="34">
        <f>VLOOKUP($A79,'[1]Init $$'!$B$3:$CG$118,51,FALSE)</f>
        <v>0</v>
      </c>
      <c r="AZ79" s="34">
        <f>VLOOKUP($A79,'[1]Init $$'!$B$3:$CG$118,52,FALSE)</f>
        <v>13600</v>
      </c>
      <c r="BA79" s="34">
        <f>VLOOKUP($A79,'[1]Init $$'!$B$3:$CG$118,53,FALSE)</f>
        <v>0</v>
      </c>
      <c r="BB79" s="34">
        <f>VLOOKUP($A79,'[1]Init $$'!$B$3:$CG$118,54,FALSE)</f>
        <v>13600</v>
      </c>
      <c r="BC79" s="34">
        <f>VLOOKUP($A79,'[1]Init $$'!$B$3:$CG$118,55,FALSE)</f>
        <v>142871.82999999999</v>
      </c>
      <c r="BD79" s="34">
        <f>VLOOKUP($A79,'[1]Init $$'!$B$3:$CG$118,56,FALSE)</f>
        <v>2301.31</v>
      </c>
      <c r="BE79" s="34">
        <f>VLOOKUP($A79,'[1]Init $$'!$B$3:$CG$118,57,FALSE)</f>
        <v>0</v>
      </c>
      <c r="BF79" s="43">
        <f>'Est gen ed 23 $$'!BF79/'Est gen ed 23 pos'!BF$123</f>
        <v>0</v>
      </c>
      <c r="BG79" s="43">
        <f>'Est gen ed 23 $$'!BG79/'Est gen ed 23 pos'!BG$123</f>
        <v>0</v>
      </c>
      <c r="BH79" s="34">
        <f>VLOOKUP($A79,'[1]Init $$'!$B$3:$CG$118,60,FALSE)</f>
        <v>0</v>
      </c>
      <c r="BI79" s="34">
        <f>VLOOKUP($A79,'[1]Init $$'!$B$3:$CG$118,61,FALSE)</f>
        <v>0</v>
      </c>
      <c r="BJ79" s="34">
        <f>VLOOKUP($A79,'[1]Init $$'!$B$3:$CG$118,62,FALSE)</f>
        <v>0</v>
      </c>
      <c r="BK79" s="43">
        <f>'Est gen ed 23 $$'!BK79/'Est gen ed 23 pos'!BK$123</f>
        <v>0</v>
      </c>
      <c r="BL79" s="34">
        <f>VLOOKUP($A79,'[1]Init $$'!$B$3:$CG$118,64,FALSE)</f>
        <v>0</v>
      </c>
      <c r="BM79" s="43">
        <f>'Est gen ed 23 $$'!BM79/'Est gen ed 23 pos'!BM$123</f>
        <v>0</v>
      </c>
      <c r="BN79" s="34">
        <f>VLOOKUP($A79,'[1]Init $$'!$B$3:$CG$118,66,FALSE)</f>
        <v>0</v>
      </c>
      <c r="BO79" s="43">
        <f>'Est gen ed 23 $$'!BO79/'Est gen ed 23 pos'!BO$123</f>
        <v>0</v>
      </c>
      <c r="BP79" s="34">
        <f>VLOOKUP($A79,'[1]Init $$'!$B$3:$CG$118,68,FALSE)</f>
        <v>0</v>
      </c>
      <c r="BQ79" s="43">
        <f>'Est gen ed 23 $$'!BQ79/'Est gen ed 23 pos'!BQ$123</f>
        <v>0</v>
      </c>
      <c r="BR79" s="43">
        <f>'Est gen ed 23 $$'!BR79/'Est gen ed 23 pos'!BR$123</f>
        <v>0</v>
      </c>
      <c r="BS79" s="34">
        <f>VLOOKUP($A79,'[1]Init $$'!$B$3:$CG$118,71,FALSE)</f>
        <v>0</v>
      </c>
      <c r="BT79" s="34">
        <f>VLOOKUP($A79,'[1]Init $$'!$B$3:$CG$118,72,FALSE)</f>
        <v>0</v>
      </c>
      <c r="BU79" s="34">
        <f>VLOOKUP($A79,'[1]Init $$'!$B$3:$CG$118,73,FALSE)</f>
        <v>15325</v>
      </c>
      <c r="BV79" s="34">
        <f>VLOOKUP($A79,'[1]Init $$'!$B$3:$CG$118,74,FALSE)</f>
        <v>0</v>
      </c>
      <c r="BW79" s="34">
        <f>VLOOKUP($A79,'[1]Init $$'!$B$3:$CG$118,75,FALSE)</f>
        <v>0</v>
      </c>
      <c r="BX79" s="43">
        <f>'Est gen ed 23 $$'!BX79/'Est gen ed 23 pos'!BX$123</f>
        <v>0</v>
      </c>
      <c r="BY79" s="43">
        <f>'Est gen ed 23 $$'!BY79/'Est gen ed 23 pos'!BY$123</f>
        <v>0</v>
      </c>
      <c r="BZ79" s="43">
        <f>'Est gen ed 23 $$'!BZ79/'Est gen ed 23 pos'!BZ$123</f>
        <v>0</v>
      </c>
      <c r="CA79" s="34">
        <f>VLOOKUP($A79,'[1]Init $$'!$B$3:$CG$118,79,FALSE)</f>
        <v>493580.74</v>
      </c>
      <c r="CB79" s="34">
        <f>VLOOKUP($A79,'[1]Init $$'!$B$3:$CG$118,80,FALSE)</f>
        <v>93656.639999999999</v>
      </c>
      <c r="CC79" s="34">
        <f>VLOOKUP($A79,'[1]Init $$'!$B$3:$CG$118,81,FALSE)</f>
        <v>0</v>
      </c>
      <c r="CD79" s="34">
        <f>VLOOKUP($A79,'[1]Init $$'!$B$3:$CG$118,82,FALSE)</f>
        <v>0</v>
      </c>
      <c r="CE79" s="34">
        <f>VLOOKUP($A79,'[1]Init $$'!$B$3:$CG$118,83,FALSE)</f>
        <v>148525.07</v>
      </c>
      <c r="CF79" s="34">
        <f>VLOOKUP($A79,'[1]Init $$'!$B$3:$CG$118,84,FALSE)</f>
        <v>0</v>
      </c>
      <c r="CJ79" s="28">
        <f t="shared" si="6"/>
        <v>2570656.4899987951</v>
      </c>
      <c r="CK79" s="43">
        <f>'Est gen ed 23 $$'!CK79/'Est gen ed 23 pos'!CK$123</f>
        <v>0.99999604682144683</v>
      </c>
      <c r="CL79" s="43">
        <f>'Est gen ed 23 $$'!CL79/'Est gen ed 23 pos'!CL$123</f>
        <v>0</v>
      </c>
      <c r="CM79" s="43">
        <f>'Est gen ed 23 $$'!CM79/'Est gen ed 23 pos'!CM$123</f>
        <v>0.5</v>
      </c>
      <c r="CN79" s="43">
        <f>'Est gen ed 23 $$'!CN79/'Est gen ed 23 pos'!CN$123</f>
        <v>0</v>
      </c>
      <c r="CO79" s="43">
        <f>'Est gen ed 23 $$'!CO79/'Est gen ed 23 pos'!CO$123</f>
        <v>0</v>
      </c>
      <c r="CP79" s="43">
        <f>'Est gen ed 23 $$'!CP79/'Est gen ed 23 pos'!CP$123</f>
        <v>0</v>
      </c>
      <c r="CQ79" s="43">
        <f>'Est gen ed 23 $$'!CQ79/'Est gen ed 23 pos'!CQ$123</f>
        <v>0.99999604682144683</v>
      </c>
      <c r="CR79" s="43">
        <f>'Est gen ed 23 $$'!CR79/'Est gen ed 23 pos'!CR$123</f>
        <v>0.99999604682144683</v>
      </c>
      <c r="CS79" s="43">
        <f>'Est gen ed 23 $$'!CS79/'Est gen ed 23 pos'!CS$123</f>
        <v>1.4999940702321701</v>
      </c>
      <c r="CT79" s="43">
        <f>'Est gen ed 23 $$'!CT79/'Est gen ed 23 pos'!CT$123</f>
        <v>2</v>
      </c>
      <c r="CU79" s="43">
        <f>'Est gen ed 23 $$'!CU79/'Est gen ed 23 pos'!CU$123</f>
        <v>12.999999999999998</v>
      </c>
      <c r="CZ79" s="43">
        <f>'Est gen ed 23 $$'!CW79/'Est gen ed 23 pos'!CZ$123</f>
        <v>0</v>
      </c>
      <c r="DB79" s="28">
        <f t="shared" si="7"/>
        <v>1284195</v>
      </c>
      <c r="DC79" s="28">
        <f t="shared" si="4"/>
        <v>148525.07</v>
      </c>
      <c r="DK79" s="34"/>
      <c r="DL79" s="34"/>
    </row>
    <row r="80" spans="1:116" x14ac:dyDescent="0.2">
      <c r="A80">
        <v>292</v>
      </c>
      <c r="B80" t="s">
        <v>49</v>
      </c>
      <c r="C80" t="s">
        <v>4</v>
      </c>
      <c r="D80">
        <v>3</v>
      </c>
      <c r="E80">
        <f>VLOOKUP($A80,'[1]Init $$'!$B$3:$CG$118,4,FALSE)</f>
        <v>755</v>
      </c>
      <c r="F80">
        <f>VLOOKUP($A80,'[1]Init $$'!$B$3:$CG$118,6,FALSE)</f>
        <v>716</v>
      </c>
      <c r="G80">
        <f>VLOOKUP($A80,'[2]$$xSchpostCouncilxLevel'!$A$4:$EW$120,153,FALSE)</f>
        <v>722</v>
      </c>
      <c r="H80" s="50">
        <f t="shared" si="5"/>
        <v>-6</v>
      </c>
      <c r="I80" s="4">
        <f>VLOOKUP($A80,'[1]Init $$'!$B$3:$CG$118,8,FALSE)</f>
        <v>9.6688741721854307E-2</v>
      </c>
      <c r="J80">
        <f>VLOOKUP($A80,'[1]Init $$'!$B$3:$CG$118,7,FALSE)</f>
        <v>73</v>
      </c>
      <c r="K80" s="43">
        <f>'Est gen ed 23 $$'!K80/'Est gen ed 23 pos'!K$123</f>
        <v>1</v>
      </c>
      <c r="L80" s="43">
        <f>'Est gen ed 23 $$'!L80/'Est gen ed 23 pos'!L$123</f>
        <v>1</v>
      </c>
      <c r="M80" s="43">
        <f>'Est gen ed 23 $$'!M80/'Est gen ed 23 pos'!M$123</f>
        <v>0</v>
      </c>
      <c r="N80" s="43">
        <f>'Est gen ed 23 $$'!N80/'Est gen ed 23 pos'!N$123</f>
        <v>1</v>
      </c>
      <c r="O80" s="34">
        <f>VLOOKUP($A80,'[1]Init $$'!$B$3:$CG$118,15,FALSE)</f>
        <v>8567.4500000000007</v>
      </c>
      <c r="P80" s="43">
        <f>'Est gen ed 23 $$'!P80/'Est gen ed 23 pos'!P$123</f>
        <v>2</v>
      </c>
      <c r="Q80" s="43">
        <f>'Est gen ed 23 $$'!Q80/'Est gen ed 23 pos'!Q$123</f>
        <v>1</v>
      </c>
      <c r="R80" s="43">
        <f>'Est gen ed 23 $$'!R80/'Est gen ed 23 pos'!R$123</f>
        <v>4.0000003907222226</v>
      </c>
      <c r="S80" s="43">
        <f>'Est gen ed 23 $$'!S80/'Est gen ed 23 pos'!S$123</f>
        <v>1.9999999121515879</v>
      </c>
      <c r="T80" s="43">
        <f>'Est gen ed 23 $$'!T80/'Est gen ed 23 pos'!T$123</f>
        <v>0</v>
      </c>
      <c r="U80" s="43">
        <f>'Est gen ed 23 $$'!U80/'Est gen ed 23 pos'!U$123</f>
        <v>0</v>
      </c>
      <c r="V80" s="43">
        <f>'Est gen ed 23 $$'!V80/'Est gen ed 23 pos'!V$123</f>
        <v>1.9999999121515879</v>
      </c>
      <c r="W80" s="43">
        <f>'Est gen ed 23 $$'!W80/'Est gen ed 23 pos'!W$123</f>
        <v>1.9999997446793083</v>
      </c>
      <c r="X80" s="34">
        <f>VLOOKUP($A80,'[1]Init $$'!$B$3:$CG$118,24,FALSE)</f>
        <v>69884.100000000006</v>
      </c>
      <c r="Y80" s="34">
        <f>VLOOKUP($A80,'[1]Init $$'!$B$3:$CG$118,25,FALSE)</f>
        <v>0</v>
      </c>
      <c r="Z80" s="34">
        <f>VLOOKUP($A80,'[1]Init $$'!$B$3:$CG$118,26,FALSE)</f>
        <v>0</v>
      </c>
      <c r="AA80" s="34">
        <f>VLOOKUP($A80,'[1]Init $$'!$B$3:$CG$118,27,FALSE)</f>
        <v>1069167</v>
      </c>
      <c r="AB80" s="43">
        <f>'Est gen ed 23 $$'!AB80/'Est gen ed 23 pos'!AB$123</f>
        <v>0</v>
      </c>
      <c r="AC80" s="43">
        <f>'Est gen ed 23 $$'!AC80/'Est gen ed 23 pos'!AC$123</f>
        <v>0</v>
      </c>
      <c r="AD80" s="43">
        <f>'Est gen ed 23 $$'!AD80/'Est gen ed 23 pos'!AD$123</f>
        <v>0</v>
      </c>
      <c r="AE80" s="43">
        <f>'Est gen ed 23 $$'!AE80/'Est gen ed 23 pos'!AE$123</f>
        <v>0</v>
      </c>
      <c r="AF80" s="34">
        <f>VLOOKUP($A80,'[1]Init $$'!$B$3:$CG$118,32,FALSE)</f>
        <v>4276668</v>
      </c>
      <c r="AG80" s="34">
        <f>VLOOKUP($A80,'[1]Init $$'!$B$3:$CG$118,33,FALSE)</f>
        <v>249150</v>
      </c>
      <c r="AH80" s="43">
        <f>'Est gen ed 23 $$'!AH80/'Est gen ed 23 pos'!AH$123</f>
        <v>1.9999999121515879</v>
      </c>
      <c r="AI80" s="43">
        <f>'Est gen ed 23 $$'!AI80/'Est gen ed 23 pos'!AI$123</f>
        <v>2.9999999121515879</v>
      </c>
      <c r="AJ80" s="43">
        <f>'Est gen ed 23 $$'!AJ80/'Est gen ed 23 pos'!AJ$123</f>
        <v>5.9999998243031758</v>
      </c>
      <c r="AK80" s="43">
        <f>'Est gen ed 23 $$'!AK80/'Est gen ed 23 pos'!AK$123</f>
        <v>0</v>
      </c>
      <c r="AL80" s="43">
        <f>'Est gen ed 23 $$'!AL80/'Est gen ed 23 pos'!AL$123</f>
        <v>0</v>
      </c>
      <c r="AM80" s="43">
        <f>'Est gen ed 23 $$'!AM80/'Est gen ed 23 pos'!AM$123</f>
        <v>0</v>
      </c>
      <c r="AN80" s="43">
        <f>'Est gen ed 23 $$'!AN80/'Est gen ed 23 pos'!AN$123</f>
        <v>0</v>
      </c>
      <c r="AO80" s="43">
        <f>'Est gen ed 23 $$'!AO80/'Est gen ed 23 pos'!AO$123</f>
        <v>0</v>
      </c>
      <c r="AP80" s="34">
        <f>VLOOKUP($A80,'[1]Init $$'!$B$3:$CG$118,42,FALSE)</f>
        <v>114681.60000000001</v>
      </c>
      <c r="AQ80" s="34">
        <f>VLOOKUP($A80,'[1]Init $$'!$B$3:$CG$118,43,FALSE)</f>
        <v>0</v>
      </c>
      <c r="AR80" s="43">
        <f>'Est gen ed 23 $$'!AR80/'Est gen ed 23 pos'!AR$123</f>
        <v>10.99999964860635</v>
      </c>
      <c r="AS80" s="43">
        <f>'Est gen ed 23 $$'!AS80/'Est gen ed 23 pos'!AS$123</f>
        <v>0</v>
      </c>
      <c r="AT80" s="43">
        <f>'Est gen ed 23 $$'!AT80/'Est gen ed 23 pos'!AT$123</f>
        <v>0</v>
      </c>
      <c r="AU80" s="34">
        <f>VLOOKUP($A80,'[1]Init $$'!$B$3:$CG$118,47,FALSE)</f>
        <v>421096.5</v>
      </c>
      <c r="AV80" s="34">
        <f>VLOOKUP($A80,'[1]Init $$'!$B$3:$CG$118,48,FALSE)</f>
        <v>0</v>
      </c>
      <c r="AW80" s="34">
        <f>VLOOKUP($A80,'[1]Init $$'!$B$3:$CG$118,49,FALSE)</f>
        <v>0</v>
      </c>
      <c r="AX80" s="34">
        <f>VLOOKUP($A80,'[1]Init $$'!$B$3:$CG$118,50,FALSE)</f>
        <v>0</v>
      </c>
      <c r="AY80" s="34">
        <f>VLOOKUP($A80,'[1]Init $$'!$B$3:$CG$118,51,FALSE)</f>
        <v>0</v>
      </c>
      <c r="AZ80" s="34">
        <f>VLOOKUP($A80,'[1]Init $$'!$B$3:$CG$118,52,FALSE)</f>
        <v>0</v>
      </c>
      <c r="BA80" s="34">
        <f>VLOOKUP($A80,'[1]Init $$'!$B$3:$CG$118,53,FALSE)</f>
        <v>0</v>
      </c>
      <c r="BB80" s="34">
        <f>VLOOKUP($A80,'[1]Init $$'!$B$3:$CG$118,54,FALSE)</f>
        <v>0</v>
      </c>
      <c r="BC80" s="34">
        <f>VLOOKUP($A80,'[1]Init $$'!$B$3:$CG$118,55,FALSE)</f>
        <v>0</v>
      </c>
      <c r="BD80" s="34">
        <f>VLOOKUP($A80,'[1]Init $$'!$B$3:$CG$118,56,FALSE)</f>
        <v>0</v>
      </c>
      <c r="BE80" s="34">
        <f>VLOOKUP($A80,'[1]Init $$'!$B$3:$CG$118,57,FALSE)</f>
        <v>18875</v>
      </c>
      <c r="BF80" s="43">
        <f>'Est gen ed 23 $$'!BF80/'Est gen ed 23 pos'!BF$123</f>
        <v>0</v>
      </c>
      <c r="BG80" s="43">
        <f>'Est gen ed 23 $$'!BG80/'Est gen ed 23 pos'!BG$123</f>
        <v>0</v>
      </c>
      <c r="BH80" s="34">
        <f>VLOOKUP($A80,'[1]Init $$'!$B$3:$CG$118,60,FALSE)</f>
        <v>0</v>
      </c>
      <c r="BI80" s="34">
        <f>VLOOKUP($A80,'[1]Init $$'!$B$3:$CG$118,61,FALSE)</f>
        <v>0</v>
      </c>
      <c r="BJ80" s="34">
        <f>VLOOKUP($A80,'[1]Init $$'!$B$3:$CG$118,62,FALSE)</f>
        <v>0</v>
      </c>
      <c r="BK80" s="43">
        <f>'Est gen ed 23 $$'!BK80/'Est gen ed 23 pos'!BK$123</f>
        <v>0</v>
      </c>
      <c r="BL80" s="34">
        <f>VLOOKUP($A80,'[1]Init $$'!$B$3:$CG$118,64,FALSE)</f>
        <v>0</v>
      </c>
      <c r="BM80" s="43">
        <f>'Est gen ed 23 $$'!BM80/'Est gen ed 23 pos'!BM$123</f>
        <v>0</v>
      </c>
      <c r="BN80" s="34">
        <f>VLOOKUP($A80,'[1]Init $$'!$B$3:$CG$118,66,FALSE)</f>
        <v>0</v>
      </c>
      <c r="BO80" s="43">
        <f>'Est gen ed 23 $$'!BO80/'Est gen ed 23 pos'!BO$123</f>
        <v>0</v>
      </c>
      <c r="BP80" s="34">
        <f>VLOOKUP($A80,'[1]Init $$'!$B$3:$CG$118,68,FALSE)</f>
        <v>500000</v>
      </c>
      <c r="BQ80" s="43">
        <f>'Est gen ed 23 $$'!BQ80/'Est gen ed 23 pos'!BQ$123</f>
        <v>0</v>
      </c>
      <c r="BR80" s="43">
        <f>'Est gen ed 23 $$'!BR80/'Est gen ed 23 pos'!BR$123</f>
        <v>0</v>
      </c>
      <c r="BS80" s="34">
        <f>VLOOKUP($A80,'[1]Init $$'!$B$3:$CG$118,71,FALSE)</f>
        <v>0</v>
      </c>
      <c r="BT80" s="34">
        <f>VLOOKUP($A80,'[1]Init $$'!$B$3:$CG$118,72,FALSE)</f>
        <v>0</v>
      </c>
      <c r="BU80" s="34">
        <f>VLOOKUP($A80,'[1]Init $$'!$B$3:$CG$118,73,FALSE)</f>
        <v>0</v>
      </c>
      <c r="BV80" s="34">
        <f>VLOOKUP($A80,'[1]Init $$'!$B$3:$CG$118,74,FALSE)</f>
        <v>0</v>
      </c>
      <c r="BW80" s="34">
        <f>VLOOKUP($A80,'[1]Init $$'!$B$3:$CG$118,75,FALSE)</f>
        <v>0</v>
      </c>
      <c r="BX80" s="43">
        <f>'Est gen ed 23 $$'!BX80/'Est gen ed 23 pos'!BX$123</f>
        <v>0</v>
      </c>
      <c r="BY80" s="43">
        <f>'Est gen ed 23 $$'!BY80/'Est gen ed 23 pos'!BY$123</f>
        <v>0</v>
      </c>
      <c r="BZ80" s="43">
        <f>'Est gen ed 23 $$'!BZ80/'Est gen ed 23 pos'!BZ$123</f>
        <v>0</v>
      </c>
      <c r="CA80" s="34">
        <f>VLOOKUP($A80,'[1]Init $$'!$B$3:$CG$118,79,FALSE)</f>
        <v>195822.79</v>
      </c>
      <c r="CB80" s="34">
        <f>VLOOKUP($A80,'[1]Init $$'!$B$3:$CG$118,80,FALSE)</f>
        <v>0</v>
      </c>
      <c r="CC80" s="34">
        <f>VLOOKUP($A80,'[1]Init $$'!$B$3:$CG$118,81,FALSE)</f>
        <v>0</v>
      </c>
      <c r="CD80" s="34">
        <f>VLOOKUP($A80,'[1]Init $$'!$B$3:$CG$118,82,FALSE)</f>
        <v>427971</v>
      </c>
      <c r="CE80" s="34">
        <f>VLOOKUP($A80,'[1]Init $$'!$B$3:$CG$118,83,FALSE)</f>
        <v>0</v>
      </c>
      <c r="CF80" s="34">
        <f>VLOOKUP($A80,'[1]Init $$'!$B$3:$CG$118,84,FALSE)</f>
        <v>0</v>
      </c>
      <c r="CJ80" s="28">
        <f t="shared" si="6"/>
        <v>7351921.4399992572</v>
      </c>
      <c r="CK80" s="43">
        <f>'Est gen ed 23 $$'!CK80/'Est gen ed 23 pos'!CK$123</f>
        <v>0.99999604682144683</v>
      </c>
      <c r="CL80" s="43">
        <f>'Est gen ed 23 $$'!CL80/'Est gen ed 23 pos'!CL$123</f>
        <v>1.8875</v>
      </c>
      <c r="CM80" s="43">
        <f>'Est gen ed 23 $$'!CM80/'Est gen ed 23 pos'!CM$123</f>
        <v>1</v>
      </c>
      <c r="CN80" s="43">
        <f>'Est gen ed 23 $$'!CN80/'Est gen ed 23 pos'!CN$123</f>
        <v>0.5298013245033113</v>
      </c>
      <c r="CO80" s="43">
        <f>'Est gen ed 23 $$'!CO80/'Est gen ed 23 pos'!CO$123</f>
        <v>0</v>
      </c>
      <c r="CP80" s="43">
        <f>'Est gen ed 23 $$'!CP80/'Est gen ed 23 pos'!CP$123</f>
        <v>0</v>
      </c>
      <c r="CQ80" s="43">
        <f>'Est gen ed 23 $$'!CQ80/'Est gen ed 23 pos'!CQ$123</f>
        <v>1</v>
      </c>
      <c r="CR80" s="43">
        <f>'Est gen ed 23 $$'!CR80/'Est gen ed 23 pos'!CR$123</f>
        <v>1</v>
      </c>
      <c r="CS80" s="43">
        <f>'Est gen ed 23 $$'!CS80/'Est gen ed 23 pos'!CS$123</f>
        <v>2</v>
      </c>
      <c r="CT80" s="43">
        <f>'Est gen ed 23 $$'!CT80/'Est gen ed 23 pos'!CT$123</f>
        <v>4</v>
      </c>
      <c r="CU80" s="43">
        <f>'Est gen ed 23 $$'!CU80/'Est gen ed 23 pos'!CU$123</f>
        <v>38</v>
      </c>
      <c r="CZ80" s="43">
        <f>'Est gen ed 23 $$'!CW80/'Est gen ed 23 pos'!CZ$123</f>
        <v>0</v>
      </c>
      <c r="DB80" s="28">
        <f t="shared" si="7"/>
        <v>5345835</v>
      </c>
      <c r="DC80" s="28">
        <f t="shared" si="4"/>
        <v>427971</v>
      </c>
      <c r="DK80" s="34"/>
      <c r="DL80" s="34"/>
    </row>
    <row r="81" spans="1:116" x14ac:dyDescent="0.2">
      <c r="A81">
        <v>294</v>
      </c>
      <c r="B81" t="s">
        <v>48</v>
      </c>
      <c r="C81" t="s">
        <v>7</v>
      </c>
      <c r="D81">
        <v>8</v>
      </c>
      <c r="E81">
        <f>VLOOKUP($A81,'[1]Init $$'!$B$3:$CG$118,4,FALSE)</f>
        <v>271</v>
      </c>
      <c r="F81">
        <f>VLOOKUP($A81,'[1]Init $$'!$B$3:$CG$118,6,FALSE)</f>
        <v>210</v>
      </c>
      <c r="G81">
        <f>VLOOKUP($A81,'[2]$$xSchpostCouncilxLevel'!$A$4:$EW$120,153,FALSE)</f>
        <v>247</v>
      </c>
      <c r="H81" s="50">
        <f t="shared" si="5"/>
        <v>-37</v>
      </c>
      <c r="I81" s="4">
        <f>VLOOKUP($A81,'[1]Init $$'!$B$3:$CG$118,8,FALSE)</f>
        <v>0.88191881918819193</v>
      </c>
      <c r="J81">
        <f>VLOOKUP($A81,'[1]Init $$'!$B$3:$CG$118,7,FALSE)</f>
        <v>239</v>
      </c>
      <c r="K81" s="43">
        <f>'Est gen ed 23 $$'!K81/'Est gen ed 23 pos'!K$123</f>
        <v>1</v>
      </c>
      <c r="L81" s="43">
        <f>'Est gen ed 23 $$'!L81/'Est gen ed 23 pos'!L$123</f>
        <v>0</v>
      </c>
      <c r="M81" s="43">
        <f>'Est gen ed 23 $$'!M81/'Est gen ed 23 pos'!M$123</f>
        <v>0</v>
      </c>
      <c r="N81" s="43">
        <f>'Est gen ed 23 $$'!N81/'Est gen ed 23 pos'!N$123</f>
        <v>1</v>
      </c>
      <c r="O81" s="34">
        <f>VLOOKUP($A81,'[1]Init $$'!$B$3:$CG$118,15,FALSE)</f>
        <v>6497.25</v>
      </c>
      <c r="P81" s="43">
        <f>'Est gen ed 23 $$'!P81/'Est gen ed 23 pos'!P$123</f>
        <v>1</v>
      </c>
      <c r="Q81" s="43">
        <f>'Est gen ed 23 $$'!Q81/'Est gen ed 23 pos'!Q$123</f>
        <v>1</v>
      </c>
      <c r="R81" s="43">
        <f>'Est gen ed 23 $$'!R81/'Est gen ed 23 pos'!R$123</f>
        <v>1</v>
      </c>
      <c r="S81" s="43">
        <f>'Est gen ed 23 $$'!S81/'Est gen ed 23 pos'!S$123</f>
        <v>1</v>
      </c>
      <c r="T81" s="43">
        <f>'Est gen ed 23 $$'!T81/'Est gen ed 23 pos'!T$123</f>
        <v>1.9999999121515879</v>
      </c>
      <c r="U81" s="43">
        <f>'Est gen ed 23 $$'!U81/'Est gen ed 23 pos'!U$123</f>
        <v>0</v>
      </c>
      <c r="V81" s="43">
        <f>'Est gen ed 23 $$'!V81/'Est gen ed 23 pos'!V$123</f>
        <v>1.9999999121515879</v>
      </c>
      <c r="W81" s="43">
        <f>'Est gen ed 23 $$'!W81/'Est gen ed 23 pos'!W$123</f>
        <v>3.9999997446793079</v>
      </c>
      <c r="X81" s="34">
        <f>VLOOKUP($A81,'[1]Init $$'!$B$3:$CG$118,24,FALSE)</f>
        <v>109305.9</v>
      </c>
      <c r="Y81" s="34">
        <f>VLOOKUP($A81,'[1]Init $$'!$B$3:$CG$118,25,FALSE)</f>
        <v>0</v>
      </c>
      <c r="Z81" s="34">
        <f>VLOOKUP($A81,'[1]Init $$'!$B$3:$CG$118,26,FALSE)</f>
        <v>0</v>
      </c>
      <c r="AA81" s="34">
        <f>VLOOKUP($A81,'[1]Init $$'!$B$3:$CG$118,27,FALSE)</f>
        <v>0</v>
      </c>
      <c r="AB81" s="43">
        <f>'Est gen ed 23 $$'!AB81/'Est gen ed 23 pos'!AB$123</f>
        <v>0</v>
      </c>
      <c r="AC81" s="43">
        <f>'Est gen ed 23 $$'!AC81/'Est gen ed 23 pos'!AC$123</f>
        <v>0</v>
      </c>
      <c r="AD81" s="43">
        <f>'Est gen ed 23 $$'!AD81/'Est gen ed 23 pos'!AD$123</f>
        <v>0</v>
      </c>
      <c r="AE81" s="43">
        <f>'Est gen ed 23 $$'!AE81/'Est gen ed 23 pos'!AE$123</f>
        <v>0</v>
      </c>
      <c r="AF81" s="34">
        <f>VLOOKUP($A81,'[1]Init $$'!$B$3:$CG$118,32,FALSE)</f>
        <v>1254330</v>
      </c>
      <c r="AG81" s="34">
        <f>VLOOKUP($A81,'[1]Init $$'!$B$3:$CG$118,33,FALSE)</f>
        <v>88075</v>
      </c>
      <c r="AH81" s="43">
        <f>'Est gen ed 23 $$'!AH81/'Est gen ed 23 pos'!AH$123</f>
        <v>1</v>
      </c>
      <c r="AI81" s="43">
        <f>'Est gen ed 23 $$'!AI81/'Est gen ed 23 pos'!AI$123</f>
        <v>1.4999999560757939</v>
      </c>
      <c r="AJ81" s="43">
        <f>'Est gen ed 23 $$'!AJ81/'Est gen ed 23 pos'!AJ$123</f>
        <v>2.9999999121515879</v>
      </c>
      <c r="AK81" s="43">
        <f>'Est gen ed 23 $$'!AK81/'Est gen ed 23 pos'!AK$123</f>
        <v>2.9999999121515879</v>
      </c>
      <c r="AL81" s="43">
        <f>'Est gen ed 23 $$'!AL81/'Est gen ed 23 pos'!AL$123</f>
        <v>5.9999994893586166</v>
      </c>
      <c r="AM81" s="43">
        <f>'Est gen ed 23 $$'!AM81/'Est gen ed 23 pos'!AM$123</f>
        <v>0</v>
      </c>
      <c r="AN81" s="43">
        <f>'Est gen ed 23 $$'!AN81/'Est gen ed 23 pos'!AN$123</f>
        <v>0</v>
      </c>
      <c r="AO81" s="43">
        <f>'Est gen ed 23 $$'!AO81/'Est gen ed 23 pos'!AO$123</f>
        <v>0</v>
      </c>
      <c r="AP81" s="34">
        <f>VLOOKUP($A81,'[1]Init $$'!$B$3:$CG$118,42,FALSE)</f>
        <v>86011.199999999997</v>
      </c>
      <c r="AQ81" s="34">
        <f>VLOOKUP($A81,'[1]Init $$'!$B$3:$CG$118,43,FALSE)</f>
        <v>0</v>
      </c>
      <c r="AR81" s="43">
        <f>'Est gen ed 23 $$'!AR81/'Est gen ed 23 pos'!AR$123</f>
        <v>0</v>
      </c>
      <c r="AS81" s="43">
        <f>'Est gen ed 23 $$'!AS81/'Est gen ed 23 pos'!AS$123</f>
        <v>8.9999995607579389E-2</v>
      </c>
      <c r="AT81" s="43">
        <f>'Est gen ed 23 $$'!AT81/'Est gen ed 23 pos'!AT$123</f>
        <v>0</v>
      </c>
      <c r="AU81" s="34">
        <f>VLOOKUP($A81,'[1]Init $$'!$B$3:$CG$118,47,FALSE)</f>
        <v>3583.8</v>
      </c>
      <c r="AV81" s="34">
        <f>VLOOKUP($A81,'[1]Init $$'!$B$3:$CG$118,48,FALSE)</f>
        <v>27200</v>
      </c>
      <c r="AW81" s="34">
        <f>VLOOKUP($A81,'[1]Init $$'!$B$3:$CG$118,49,FALSE)</f>
        <v>27200</v>
      </c>
      <c r="AX81" s="34">
        <f>VLOOKUP($A81,'[1]Init $$'!$B$3:$CG$118,50,FALSE)</f>
        <v>10200</v>
      </c>
      <c r="AY81" s="34">
        <f>VLOOKUP($A81,'[1]Init $$'!$B$3:$CG$118,51,FALSE)</f>
        <v>0</v>
      </c>
      <c r="AZ81" s="34">
        <f>VLOOKUP($A81,'[1]Init $$'!$B$3:$CG$118,52,FALSE)</f>
        <v>27200</v>
      </c>
      <c r="BA81" s="34">
        <f>VLOOKUP($A81,'[1]Init $$'!$B$3:$CG$118,53,FALSE)</f>
        <v>0</v>
      </c>
      <c r="BB81" s="34">
        <f>VLOOKUP($A81,'[1]Init $$'!$B$3:$CG$118,54,FALSE)</f>
        <v>27200</v>
      </c>
      <c r="BC81" s="34">
        <f>VLOOKUP($A81,'[1]Init $$'!$B$3:$CG$118,55,FALSE)</f>
        <v>146660.1</v>
      </c>
      <c r="BD81" s="34">
        <f>VLOOKUP($A81,'[1]Init $$'!$B$3:$CG$118,56,FALSE)</f>
        <v>2362.33</v>
      </c>
      <c r="BE81" s="34">
        <f>VLOOKUP($A81,'[1]Init $$'!$B$3:$CG$118,57,FALSE)</f>
        <v>0</v>
      </c>
      <c r="BF81" s="43">
        <f>'Est gen ed 23 $$'!BF81/'Est gen ed 23 pos'!BF$123</f>
        <v>1</v>
      </c>
      <c r="BG81" s="43">
        <f>'Est gen ed 23 $$'!BG81/'Est gen ed 23 pos'!BG$123</f>
        <v>0</v>
      </c>
      <c r="BH81" s="34">
        <f>VLOOKUP($A81,'[1]Init $$'!$B$3:$CG$118,60,FALSE)</f>
        <v>0</v>
      </c>
      <c r="BI81" s="34">
        <f>VLOOKUP($A81,'[1]Init $$'!$B$3:$CG$118,61,FALSE)</f>
        <v>0</v>
      </c>
      <c r="BJ81" s="34">
        <f>VLOOKUP($A81,'[1]Init $$'!$B$3:$CG$118,62,FALSE)</f>
        <v>0</v>
      </c>
      <c r="BK81" s="43">
        <f>'Est gen ed 23 $$'!BK81/'Est gen ed 23 pos'!BK$123</f>
        <v>0</v>
      </c>
      <c r="BL81" s="34">
        <f>VLOOKUP($A81,'[1]Init $$'!$B$3:$CG$118,64,FALSE)</f>
        <v>0</v>
      </c>
      <c r="BM81" s="43">
        <f>'Est gen ed 23 $$'!BM81/'Est gen ed 23 pos'!BM$123</f>
        <v>0</v>
      </c>
      <c r="BN81" s="34">
        <f>VLOOKUP($A81,'[1]Init $$'!$B$3:$CG$118,66,FALSE)</f>
        <v>0</v>
      </c>
      <c r="BO81" s="43">
        <f>'Est gen ed 23 $$'!BO81/'Est gen ed 23 pos'!BO$123</f>
        <v>0</v>
      </c>
      <c r="BP81" s="34">
        <f>VLOOKUP($A81,'[1]Init $$'!$B$3:$CG$118,68,FALSE)</f>
        <v>0</v>
      </c>
      <c r="BQ81" s="43">
        <f>'Est gen ed 23 $$'!BQ81/'Est gen ed 23 pos'!BQ$123</f>
        <v>0</v>
      </c>
      <c r="BR81" s="43">
        <f>'Est gen ed 23 $$'!BR81/'Est gen ed 23 pos'!BR$123</f>
        <v>0</v>
      </c>
      <c r="BS81" s="34">
        <f>VLOOKUP($A81,'[1]Init $$'!$B$3:$CG$118,71,FALSE)</f>
        <v>0</v>
      </c>
      <c r="BT81" s="34">
        <f>VLOOKUP($A81,'[1]Init $$'!$B$3:$CG$118,72,FALSE)</f>
        <v>0</v>
      </c>
      <c r="BU81" s="34">
        <f>VLOOKUP($A81,'[1]Init $$'!$B$3:$CG$118,73,FALSE)</f>
        <v>15325</v>
      </c>
      <c r="BV81" s="34">
        <f>VLOOKUP($A81,'[1]Init $$'!$B$3:$CG$118,74,FALSE)</f>
        <v>0</v>
      </c>
      <c r="BW81" s="34">
        <f>VLOOKUP($A81,'[1]Init $$'!$B$3:$CG$118,75,FALSE)</f>
        <v>0</v>
      </c>
      <c r="BX81" s="43">
        <f>'Est gen ed 23 $$'!BX81/'Est gen ed 23 pos'!BX$123</f>
        <v>0</v>
      </c>
      <c r="BY81" s="43">
        <f>'Est gen ed 23 $$'!BY81/'Est gen ed 23 pos'!BY$123</f>
        <v>0</v>
      </c>
      <c r="BZ81" s="43">
        <f>'Est gen ed 23 $$'!BZ81/'Est gen ed 23 pos'!BZ$123</f>
        <v>0</v>
      </c>
      <c r="CA81" s="34">
        <f>VLOOKUP($A81,'[1]Init $$'!$B$3:$CG$118,79,FALSE)</f>
        <v>641118.46</v>
      </c>
      <c r="CB81" s="34">
        <f>VLOOKUP($A81,'[1]Init $$'!$B$3:$CG$118,80,FALSE)</f>
        <v>156014.76</v>
      </c>
      <c r="CC81" s="34">
        <f>VLOOKUP($A81,'[1]Init $$'!$B$3:$CG$118,81,FALSE)</f>
        <v>313737.37</v>
      </c>
      <c r="CD81" s="34">
        <f>VLOOKUP($A81,'[1]Init $$'!$B$3:$CG$118,82,FALSE)</f>
        <v>99193.16</v>
      </c>
      <c r="CE81" s="34">
        <f>VLOOKUP($A81,'[1]Init $$'!$B$3:$CG$118,83,FALSE)</f>
        <v>265702.40000000002</v>
      </c>
      <c r="CF81" s="34">
        <f>VLOOKUP($A81,'[1]Init $$'!$B$3:$CG$118,84,FALSE)</f>
        <v>553370.36</v>
      </c>
      <c r="CJ81" s="28">
        <f t="shared" si="6"/>
        <v>3860316.6799988346</v>
      </c>
      <c r="CK81" s="43">
        <f>'Est gen ed 23 $$'!CK81/'Est gen ed 23 pos'!CK$123</f>
        <v>0.99999604682144683</v>
      </c>
      <c r="CL81" s="43">
        <f>'Est gen ed 23 $$'!CL81/'Est gen ed 23 pos'!CL$123</f>
        <v>0</v>
      </c>
      <c r="CM81" s="43">
        <f>'Est gen ed 23 $$'!CM81/'Est gen ed 23 pos'!CM$123</f>
        <v>0.5</v>
      </c>
      <c r="CN81" s="43">
        <f>'Est gen ed 23 $$'!CN81/'Est gen ed 23 pos'!CN$123</f>
        <v>0</v>
      </c>
      <c r="CO81" s="43">
        <f>'Est gen ed 23 $$'!CO81/'Est gen ed 23 pos'!CO$123</f>
        <v>0</v>
      </c>
      <c r="CP81" s="43">
        <f>'Est gen ed 23 $$'!CP81/'Est gen ed 23 pos'!CP$123</f>
        <v>0</v>
      </c>
      <c r="CQ81" s="43">
        <f>'Est gen ed 23 $$'!CQ81/'Est gen ed 23 pos'!CQ$123</f>
        <v>0.99999604682144683</v>
      </c>
      <c r="CR81" s="43">
        <f>'Est gen ed 23 $$'!CR81/'Est gen ed 23 pos'!CR$123</f>
        <v>0.99999604682144683</v>
      </c>
      <c r="CS81" s="43">
        <f>'Est gen ed 23 $$'!CS81/'Est gen ed 23 pos'!CS$123</f>
        <v>1.4999940702321701</v>
      </c>
      <c r="CT81" s="43">
        <f>'Est gen ed 23 $$'!CT81/'Est gen ed 23 pos'!CT$123</f>
        <v>2</v>
      </c>
      <c r="CU81" s="43">
        <f>'Est gen ed 23 $$'!CU81/'Est gen ed 23 pos'!CU$123</f>
        <v>12.999999999999998</v>
      </c>
      <c r="CZ81" s="43">
        <f>'Est gen ed 23 $$'!CW81/'Est gen ed 23 pos'!CZ$123</f>
        <v>0</v>
      </c>
      <c r="DB81" s="28">
        <f t="shared" si="7"/>
        <v>1254330</v>
      </c>
      <c r="DC81" s="28">
        <f t="shared" si="4"/>
        <v>1232003.29</v>
      </c>
      <c r="DK81" s="34"/>
      <c r="DL81" s="34"/>
    </row>
    <row r="82" spans="1:116" x14ac:dyDescent="0.2">
      <c r="A82">
        <v>295</v>
      </c>
      <c r="B82" t="s">
        <v>47</v>
      </c>
      <c r="C82" t="s">
        <v>7</v>
      </c>
      <c r="D82">
        <v>6</v>
      </c>
      <c r="E82">
        <f>VLOOKUP($A82,'[1]Init $$'!$B$3:$CG$118,4,FALSE)</f>
        <v>308</v>
      </c>
      <c r="F82">
        <f>VLOOKUP($A82,'[1]Init $$'!$B$3:$CG$118,6,FALSE)</f>
        <v>227</v>
      </c>
      <c r="G82">
        <f>VLOOKUP($A82,'[2]$$xSchpostCouncilxLevel'!$A$4:$EW$120,153,FALSE)</f>
        <v>241</v>
      </c>
      <c r="H82" s="50">
        <f t="shared" si="5"/>
        <v>-14</v>
      </c>
      <c r="I82" s="4">
        <f>VLOOKUP($A82,'[1]Init $$'!$B$3:$CG$118,8,FALSE)</f>
        <v>0.43831168831168832</v>
      </c>
      <c r="J82">
        <f>VLOOKUP($A82,'[1]Init $$'!$B$3:$CG$118,7,FALSE)</f>
        <v>135</v>
      </c>
      <c r="K82" s="43">
        <f>'Est gen ed 23 $$'!K82/'Est gen ed 23 pos'!K$123</f>
        <v>1</v>
      </c>
      <c r="L82" s="43">
        <f>'Est gen ed 23 $$'!L82/'Est gen ed 23 pos'!L$123</f>
        <v>0</v>
      </c>
      <c r="M82" s="43">
        <f>'Est gen ed 23 $$'!M82/'Est gen ed 23 pos'!M$123</f>
        <v>0</v>
      </c>
      <c r="N82" s="43">
        <f>'Est gen ed 23 $$'!N82/'Est gen ed 23 pos'!N$123</f>
        <v>1</v>
      </c>
      <c r="O82" s="34">
        <f>VLOOKUP($A82,'[1]Init $$'!$B$3:$CG$118,15,FALSE)</f>
        <v>5865.5</v>
      </c>
      <c r="P82" s="43">
        <f>'Est gen ed 23 $$'!P82/'Est gen ed 23 pos'!P$123</f>
        <v>1</v>
      </c>
      <c r="Q82" s="43">
        <f>'Est gen ed 23 $$'!Q82/'Est gen ed 23 pos'!Q$123</f>
        <v>1</v>
      </c>
      <c r="R82" s="43">
        <f>'Est gen ed 23 $$'!R82/'Est gen ed 23 pos'!R$123</f>
        <v>2.0000001953611113</v>
      </c>
      <c r="S82" s="43">
        <f>'Est gen ed 23 $$'!S82/'Est gen ed 23 pos'!S$123</f>
        <v>1</v>
      </c>
      <c r="T82" s="43">
        <f>'Est gen ed 23 $$'!T82/'Est gen ed 23 pos'!T$123</f>
        <v>2.9999999121515879</v>
      </c>
      <c r="U82" s="43">
        <f>'Est gen ed 23 $$'!U82/'Est gen ed 23 pos'!U$123</f>
        <v>0</v>
      </c>
      <c r="V82" s="43">
        <f>'Est gen ed 23 $$'!V82/'Est gen ed 23 pos'!V$123</f>
        <v>1.9999999121515879</v>
      </c>
      <c r="W82" s="43">
        <f>'Est gen ed 23 $$'!W82/'Est gen ed 23 pos'!W$123</f>
        <v>4.9999994893586166</v>
      </c>
      <c r="X82" s="34">
        <f>VLOOKUP($A82,'[1]Init $$'!$B$3:$CG$118,24,FALSE)</f>
        <v>145143.9</v>
      </c>
      <c r="Y82" s="34">
        <f>VLOOKUP($A82,'[1]Init $$'!$B$3:$CG$118,25,FALSE)</f>
        <v>0</v>
      </c>
      <c r="Z82" s="34">
        <f>VLOOKUP($A82,'[1]Init $$'!$B$3:$CG$118,26,FALSE)</f>
        <v>0</v>
      </c>
      <c r="AA82" s="34">
        <f>VLOOKUP($A82,'[1]Init $$'!$B$3:$CG$118,27,FALSE)</f>
        <v>0</v>
      </c>
      <c r="AB82" s="43">
        <f>'Est gen ed 23 $$'!AB82/'Est gen ed 23 pos'!AB$123</f>
        <v>0</v>
      </c>
      <c r="AC82" s="43">
        <f>'Est gen ed 23 $$'!AC82/'Est gen ed 23 pos'!AC$123</f>
        <v>0</v>
      </c>
      <c r="AD82" s="43">
        <f>'Est gen ed 23 $$'!AD82/'Est gen ed 23 pos'!AD$123</f>
        <v>0</v>
      </c>
      <c r="AE82" s="43">
        <f>'Est gen ed 23 $$'!AE82/'Est gen ed 23 pos'!AE$123</f>
        <v>0</v>
      </c>
      <c r="AF82" s="34">
        <f>VLOOKUP($A82,'[1]Init $$'!$B$3:$CG$118,32,FALSE)</f>
        <v>1355871</v>
      </c>
      <c r="AG82" s="34">
        <f>VLOOKUP($A82,'[1]Init $$'!$B$3:$CG$118,33,FALSE)</f>
        <v>100100</v>
      </c>
      <c r="AH82" s="43">
        <f>'Est gen ed 23 $$'!AH82/'Est gen ed 23 pos'!AH$123</f>
        <v>1</v>
      </c>
      <c r="AI82" s="43">
        <f>'Est gen ed 23 $$'!AI82/'Est gen ed 23 pos'!AI$123</f>
        <v>2.9999999121515879</v>
      </c>
      <c r="AJ82" s="43">
        <f>'Est gen ed 23 $$'!AJ82/'Est gen ed 23 pos'!AJ$123</f>
        <v>2.9999999121515879</v>
      </c>
      <c r="AK82" s="43">
        <f>'Est gen ed 23 $$'!AK82/'Est gen ed 23 pos'!AK$123</f>
        <v>3.9999998243031758</v>
      </c>
      <c r="AL82" s="43">
        <f>'Est gen ed 23 $$'!AL82/'Est gen ed 23 pos'!AL$123</f>
        <v>3.9999997446793079</v>
      </c>
      <c r="AM82" s="43">
        <f>'Est gen ed 23 $$'!AM82/'Est gen ed 23 pos'!AM$123</f>
        <v>0</v>
      </c>
      <c r="AN82" s="43">
        <f>'Est gen ed 23 $$'!AN82/'Est gen ed 23 pos'!AN$123</f>
        <v>1.0000010424267696</v>
      </c>
      <c r="AO82" s="43">
        <f>'Est gen ed 23 $$'!AO82/'Est gen ed 23 pos'!AO$123</f>
        <v>0</v>
      </c>
      <c r="AP82" s="34">
        <f>VLOOKUP($A82,'[1]Init $$'!$B$3:$CG$118,42,FALSE)</f>
        <v>71676</v>
      </c>
      <c r="AQ82" s="34">
        <f>VLOOKUP($A82,'[1]Init $$'!$B$3:$CG$118,43,FALSE)</f>
        <v>0</v>
      </c>
      <c r="AR82" s="43">
        <f>'Est gen ed 23 $$'!AR82/'Est gen ed 23 pos'!AR$123</f>
        <v>0</v>
      </c>
      <c r="AS82" s="43">
        <f>'Est gen ed 23 $$'!AS82/'Est gen ed 23 pos'!AS$123</f>
        <v>0.17999999121515878</v>
      </c>
      <c r="AT82" s="43">
        <f>'Est gen ed 23 $$'!AT82/'Est gen ed 23 pos'!AT$123</f>
        <v>0</v>
      </c>
      <c r="AU82" s="34">
        <f>VLOOKUP($A82,'[1]Init $$'!$B$3:$CG$118,47,FALSE)</f>
        <v>7167.6</v>
      </c>
      <c r="AV82" s="34">
        <f>VLOOKUP($A82,'[1]Init $$'!$B$3:$CG$118,48,FALSE)</f>
        <v>27200</v>
      </c>
      <c r="AW82" s="34">
        <f>VLOOKUP($A82,'[1]Init $$'!$B$3:$CG$118,49,FALSE)</f>
        <v>34000</v>
      </c>
      <c r="AX82" s="34">
        <f>VLOOKUP($A82,'[1]Init $$'!$B$3:$CG$118,50,FALSE)</f>
        <v>0</v>
      </c>
      <c r="AY82" s="34">
        <f>VLOOKUP($A82,'[1]Init $$'!$B$3:$CG$118,51,FALSE)</f>
        <v>0</v>
      </c>
      <c r="AZ82" s="34">
        <f>VLOOKUP($A82,'[1]Init $$'!$B$3:$CG$118,52,FALSE)</f>
        <v>34000</v>
      </c>
      <c r="BA82" s="34">
        <f>VLOOKUP($A82,'[1]Init $$'!$B$3:$CG$118,53,FALSE)</f>
        <v>10200</v>
      </c>
      <c r="BB82" s="34">
        <f>VLOOKUP($A82,'[1]Init $$'!$B$3:$CG$118,54,FALSE)</f>
        <v>40800</v>
      </c>
      <c r="BC82" s="34">
        <f>VLOOKUP($A82,'[1]Init $$'!$B$3:$CG$118,55,FALSE)</f>
        <v>79661.87</v>
      </c>
      <c r="BD82" s="34">
        <f>VLOOKUP($A82,'[1]Init $$'!$B$3:$CG$118,56,FALSE)</f>
        <v>1283.1600000000001</v>
      </c>
      <c r="BE82" s="34">
        <f>VLOOKUP($A82,'[1]Init $$'!$B$3:$CG$118,57,FALSE)</f>
        <v>0</v>
      </c>
      <c r="BF82" s="43">
        <f>'Est gen ed 23 $$'!BF82/'Est gen ed 23 pos'!BF$123</f>
        <v>0</v>
      </c>
      <c r="BG82" s="43">
        <f>'Est gen ed 23 $$'!BG82/'Est gen ed 23 pos'!BG$123</f>
        <v>0</v>
      </c>
      <c r="BH82" s="34">
        <f>VLOOKUP($A82,'[1]Init $$'!$B$3:$CG$118,60,FALSE)</f>
        <v>0</v>
      </c>
      <c r="BI82" s="34">
        <f>VLOOKUP($A82,'[1]Init $$'!$B$3:$CG$118,61,FALSE)</f>
        <v>0</v>
      </c>
      <c r="BJ82" s="34">
        <f>VLOOKUP($A82,'[1]Init $$'!$B$3:$CG$118,62,FALSE)</f>
        <v>0</v>
      </c>
      <c r="BK82" s="43">
        <f>'Est gen ed 23 $$'!BK82/'Est gen ed 23 pos'!BK$123</f>
        <v>0</v>
      </c>
      <c r="BL82" s="34">
        <f>VLOOKUP($A82,'[1]Init $$'!$B$3:$CG$118,64,FALSE)</f>
        <v>0</v>
      </c>
      <c r="BM82" s="43">
        <f>'Est gen ed 23 $$'!BM82/'Est gen ed 23 pos'!BM$123</f>
        <v>0</v>
      </c>
      <c r="BN82" s="34">
        <f>VLOOKUP($A82,'[1]Init $$'!$B$3:$CG$118,66,FALSE)</f>
        <v>0</v>
      </c>
      <c r="BO82" s="43">
        <f>'Est gen ed 23 $$'!BO82/'Est gen ed 23 pos'!BO$123</f>
        <v>0</v>
      </c>
      <c r="BP82" s="34">
        <f>VLOOKUP($A82,'[1]Init $$'!$B$3:$CG$118,68,FALSE)</f>
        <v>0</v>
      </c>
      <c r="BQ82" s="43">
        <f>'Est gen ed 23 $$'!BQ82/'Est gen ed 23 pos'!BQ$123</f>
        <v>0</v>
      </c>
      <c r="BR82" s="43">
        <f>'Est gen ed 23 $$'!BR82/'Est gen ed 23 pos'!BR$123</f>
        <v>0</v>
      </c>
      <c r="BS82" s="34">
        <f>VLOOKUP($A82,'[1]Init $$'!$B$3:$CG$118,71,FALSE)</f>
        <v>0</v>
      </c>
      <c r="BT82" s="34">
        <f>VLOOKUP($A82,'[1]Init $$'!$B$3:$CG$118,72,FALSE)</f>
        <v>0</v>
      </c>
      <c r="BU82" s="34">
        <f>VLOOKUP($A82,'[1]Init $$'!$B$3:$CG$118,73,FALSE)</f>
        <v>15325</v>
      </c>
      <c r="BV82" s="34">
        <f>VLOOKUP($A82,'[1]Init $$'!$B$3:$CG$118,74,FALSE)</f>
        <v>0</v>
      </c>
      <c r="BW82" s="34">
        <f>VLOOKUP($A82,'[1]Init $$'!$B$3:$CG$118,75,FALSE)</f>
        <v>0</v>
      </c>
      <c r="BX82" s="43">
        <f>'Est gen ed 23 $$'!BX82/'Est gen ed 23 pos'!BX$123</f>
        <v>0</v>
      </c>
      <c r="BY82" s="43">
        <f>'Est gen ed 23 $$'!BY82/'Est gen ed 23 pos'!BY$123</f>
        <v>0</v>
      </c>
      <c r="BZ82" s="43">
        <f>'Est gen ed 23 $$'!BZ82/'Est gen ed 23 pos'!BZ$123</f>
        <v>0</v>
      </c>
      <c r="CA82" s="34">
        <f>VLOOKUP($A82,'[1]Init $$'!$B$3:$CG$118,79,FALSE)</f>
        <v>362138.04</v>
      </c>
      <c r="CB82" s="34">
        <f>VLOOKUP($A82,'[1]Init $$'!$B$3:$CG$118,80,FALSE)</f>
        <v>14096.28</v>
      </c>
      <c r="CC82" s="34">
        <f>VLOOKUP($A82,'[1]Init $$'!$B$3:$CG$118,81,FALSE)</f>
        <v>494.13</v>
      </c>
      <c r="CD82" s="34">
        <f>VLOOKUP($A82,'[1]Init $$'!$B$3:$CG$118,82,FALSE)</f>
        <v>181632.75</v>
      </c>
      <c r="CE82" s="34">
        <f>VLOOKUP($A82,'[1]Init $$'!$B$3:$CG$118,83,FALSE)</f>
        <v>280993.28000000003</v>
      </c>
      <c r="CF82" s="34">
        <f>VLOOKUP($A82,'[1]Init $$'!$B$3:$CG$118,84,FALSE)</f>
        <v>0</v>
      </c>
      <c r="CJ82" s="28">
        <f t="shared" si="6"/>
        <v>2767681.6899999352</v>
      </c>
      <c r="CK82" s="43">
        <f>'Est gen ed 23 $$'!CK82/'Est gen ed 23 pos'!CK$123</f>
        <v>0.99999604682144683</v>
      </c>
      <c r="CL82" s="43">
        <f>'Est gen ed 23 $$'!CL82/'Est gen ed 23 pos'!CL$123</f>
        <v>0.77</v>
      </c>
      <c r="CM82" s="43">
        <f>'Est gen ed 23 $$'!CM82/'Est gen ed 23 pos'!CM$123</f>
        <v>1</v>
      </c>
      <c r="CN82" s="43">
        <f>'Est gen ed 23 $$'!CN82/'Est gen ed 23 pos'!CN$123</f>
        <v>0</v>
      </c>
      <c r="CO82" s="43">
        <f>'Est gen ed 23 $$'!CO82/'Est gen ed 23 pos'!CO$123</f>
        <v>0</v>
      </c>
      <c r="CP82" s="43">
        <f>'Est gen ed 23 $$'!CP82/'Est gen ed 23 pos'!CP$123</f>
        <v>0</v>
      </c>
      <c r="CQ82" s="43">
        <f>'Est gen ed 23 $$'!CQ82/'Est gen ed 23 pos'!CQ$123</f>
        <v>0.99999604682144683</v>
      </c>
      <c r="CR82" s="43">
        <f>'Est gen ed 23 $$'!CR82/'Est gen ed 23 pos'!CR$123</f>
        <v>0.99999604682144683</v>
      </c>
      <c r="CS82" s="43">
        <f>'Est gen ed 23 $$'!CS82/'Est gen ed 23 pos'!CS$123</f>
        <v>1.4999940702321701</v>
      </c>
      <c r="CT82" s="43">
        <f>'Est gen ed 23 $$'!CT82/'Est gen ed 23 pos'!CT$123</f>
        <v>2</v>
      </c>
      <c r="CU82" s="43">
        <f>'Est gen ed 23 $$'!CU82/'Est gen ed 23 pos'!CU$123</f>
        <v>14</v>
      </c>
      <c r="CZ82" s="43">
        <f>'Est gen ed 23 $$'!CW82/'Est gen ed 23 pos'!CZ$123</f>
        <v>0</v>
      </c>
      <c r="DB82" s="28">
        <f t="shared" si="7"/>
        <v>1355871</v>
      </c>
      <c r="DC82" s="28">
        <f t="shared" si="4"/>
        <v>463120.16000000003</v>
      </c>
      <c r="DK82" s="34"/>
      <c r="DL82" s="34"/>
    </row>
    <row r="83" spans="1:116" x14ac:dyDescent="0.2">
      <c r="A83">
        <v>301</v>
      </c>
      <c r="B83" t="s">
        <v>46</v>
      </c>
      <c r="C83" t="s">
        <v>7</v>
      </c>
      <c r="D83">
        <v>6</v>
      </c>
      <c r="E83">
        <f>VLOOKUP($A83,'[1]Init $$'!$B$3:$CG$118,4,FALSE)</f>
        <v>210</v>
      </c>
      <c r="F83">
        <f>VLOOKUP($A83,'[1]Init $$'!$B$3:$CG$118,6,FALSE)</f>
        <v>72</v>
      </c>
      <c r="G83">
        <f>VLOOKUP($A83,'[2]$$xSchpostCouncilxLevel'!$A$4:$EW$120,153,FALSE)</f>
        <v>81</v>
      </c>
      <c r="H83" s="50">
        <f t="shared" si="5"/>
        <v>-9</v>
      </c>
      <c r="I83" s="4">
        <f>VLOOKUP($A83,'[1]Init $$'!$B$3:$CG$118,8,FALSE)</f>
        <v>8.0952380952380956E-2</v>
      </c>
      <c r="J83">
        <f>VLOOKUP($A83,'[1]Init $$'!$B$3:$CG$118,7,FALSE)</f>
        <v>17</v>
      </c>
      <c r="K83" s="43">
        <f>'Est gen ed 23 $$'!K83/'Est gen ed 23 pos'!K$123</f>
        <v>0</v>
      </c>
      <c r="L83" s="43">
        <f>'Est gen ed 23 $$'!L83/'Est gen ed 23 pos'!L$123</f>
        <v>0</v>
      </c>
      <c r="M83" s="43">
        <f>'Est gen ed 23 $$'!M83/'Est gen ed 23 pos'!M$123</f>
        <v>0</v>
      </c>
      <c r="N83" s="43">
        <f>'Est gen ed 23 $$'!N83/'Est gen ed 23 pos'!N$123</f>
        <v>1</v>
      </c>
      <c r="O83" s="34">
        <f>VLOOKUP($A83,'[1]Init $$'!$B$3:$CG$118,15,FALSE)</f>
        <v>4225.55</v>
      </c>
      <c r="P83" s="43">
        <f>'Est gen ed 23 $$'!P83/'Est gen ed 23 pos'!P$123</f>
        <v>1</v>
      </c>
      <c r="Q83" s="43">
        <f>'Est gen ed 23 $$'!Q83/'Est gen ed 23 pos'!Q$123</f>
        <v>1</v>
      </c>
      <c r="R83" s="43">
        <f>'Est gen ed 23 $$'!R83/'Est gen ed 23 pos'!R$123</f>
        <v>1</v>
      </c>
      <c r="S83" s="43">
        <f>'Est gen ed 23 $$'!S83/'Est gen ed 23 pos'!S$123</f>
        <v>1</v>
      </c>
      <c r="T83" s="43">
        <f>'Est gen ed 23 $$'!T83/'Est gen ed 23 pos'!T$123</f>
        <v>3.9999998243031758</v>
      </c>
      <c r="U83" s="43">
        <f>'Est gen ed 23 $$'!U83/'Est gen ed 23 pos'!U$123</f>
        <v>0</v>
      </c>
      <c r="V83" s="43">
        <f>'Est gen ed 23 $$'!V83/'Est gen ed 23 pos'!V$123</f>
        <v>3.9999998243031758</v>
      </c>
      <c r="W83" s="43">
        <f>'Est gen ed 23 $$'!W83/'Est gen ed 23 pos'!W$123</f>
        <v>7.999999234037924</v>
      </c>
      <c r="X83" s="34">
        <f>VLOOKUP($A83,'[1]Init $$'!$B$3:$CG$118,24,FALSE)</f>
        <v>247282.2</v>
      </c>
      <c r="Y83" s="34">
        <f>VLOOKUP($A83,'[1]Init $$'!$B$3:$CG$118,25,FALSE)</f>
        <v>0</v>
      </c>
      <c r="Z83" s="34">
        <f>VLOOKUP($A83,'[1]Init $$'!$B$3:$CG$118,26,FALSE)</f>
        <v>0</v>
      </c>
      <c r="AA83" s="34">
        <f>VLOOKUP($A83,'[1]Init $$'!$B$3:$CG$118,27,FALSE)</f>
        <v>0</v>
      </c>
      <c r="AB83" s="43">
        <f>'Est gen ed 23 $$'!AB83/'Est gen ed 23 pos'!AB$123</f>
        <v>0</v>
      </c>
      <c r="AC83" s="43">
        <f>'Est gen ed 23 $$'!AC83/'Est gen ed 23 pos'!AC$123</f>
        <v>0</v>
      </c>
      <c r="AD83" s="43">
        <f>'Est gen ed 23 $$'!AD83/'Est gen ed 23 pos'!AD$123</f>
        <v>0</v>
      </c>
      <c r="AE83" s="43">
        <f>'Est gen ed 23 $$'!AE83/'Est gen ed 23 pos'!AE$123</f>
        <v>0</v>
      </c>
      <c r="AF83" s="34">
        <f>VLOOKUP($A83,'[1]Init $$'!$B$3:$CG$118,32,FALSE)</f>
        <v>430056</v>
      </c>
      <c r="AG83" s="34">
        <f>VLOOKUP($A83,'[1]Init $$'!$B$3:$CG$118,33,FALSE)</f>
        <v>68250</v>
      </c>
      <c r="AH83" s="43">
        <f>'Est gen ed 23 $$'!AH83/'Est gen ed 23 pos'!AH$123</f>
        <v>1</v>
      </c>
      <c r="AI83" s="43">
        <f>'Est gen ed 23 $$'!AI83/'Est gen ed 23 pos'!AI$123</f>
        <v>0.49999995607579389</v>
      </c>
      <c r="AJ83" s="43">
        <f>'Est gen ed 23 $$'!AJ83/'Est gen ed 23 pos'!AJ$123</f>
        <v>1</v>
      </c>
      <c r="AK83" s="43">
        <f>'Est gen ed 23 $$'!AK83/'Est gen ed 23 pos'!AK$123</f>
        <v>0</v>
      </c>
      <c r="AL83" s="43">
        <f>'Est gen ed 23 $$'!AL83/'Est gen ed 23 pos'!AL$123</f>
        <v>0</v>
      </c>
      <c r="AM83" s="43">
        <f>'Est gen ed 23 $$'!AM83/'Est gen ed 23 pos'!AM$123</f>
        <v>0</v>
      </c>
      <c r="AN83" s="43">
        <f>'Est gen ed 23 $$'!AN83/'Est gen ed 23 pos'!AN$123</f>
        <v>0</v>
      </c>
      <c r="AO83" s="43">
        <f>'Est gen ed 23 $$'!AO83/'Est gen ed 23 pos'!AO$123</f>
        <v>0</v>
      </c>
      <c r="AP83" s="34">
        <f>VLOOKUP($A83,'[1]Init $$'!$B$3:$CG$118,42,FALSE)</f>
        <v>25086.6</v>
      </c>
      <c r="AQ83" s="34">
        <f>VLOOKUP($A83,'[1]Init $$'!$B$3:$CG$118,43,FALSE)</f>
        <v>0</v>
      </c>
      <c r="AR83" s="43">
        <f>'Est gen ed 23 $$'!AR83/'Est gen ed 23 pos'!AR$123</f>
        <v>0</v>
      </c>
      <c r="AS83" s="43">
        <f>'Est gen ed 23 $$'!AS83/'Est gen ed 23 pos'!AS$123</f>
        <v>4.9999978037896929E-2</v>
      </c>
      <c r="AT83" s="43">
        <f>'Est gen ed 23 $$'!AT83/'Est gen ed 23 pos'!AT$123</f>
        <v>0</v>
      </c>
      <c r="AU83" s="34">
        <f>VLOOKUP($A83,'[1]Init $$'!$B$3:$CG$118,47,FALSE)</f>
        <v>1791.9</v>
      </c>
      <c r="AV83" s="34">
        <f>VLOOKUP($A83,'[1]Init $$'!$B$3:$CG$118,48,FALSE)</f>
        <v>0</v>
      </c>
      <c r="AW83" s="34">
        <f>VLOOKUP($A83,'[1]Init $$'!$B$3:$CG$118,49,FALSE)</f>
        <v>0</v>
      </c>
      <c r="AX83" s="34">
        <f>VLOOKUP($A83,'[1]Init $$'!$B$3:$CG$118,50,FALSE)</f>
        <v>0</v>
      </c>
      <c r="AY83" s="34">
        <f>VLOOKUP($A83,'[1]Init $$'!$B$3:$CG$118,51,FALSE)</f>
        <v>0</v>
      </c>
      <c r="AZ83" s="34">
        <f>VLOOKUP($A83,'[1]Init $$'!$B$3:$CG$118,52,FALSE)</f>
        <v>0</v>
      </c>
      <c r="BA83" s="34">
        <f>VLOOKUP($A83,'[1]Init $$'!$B$3:$CG$118,53,FALSE)</f>
        <v>0</v>
      </c>
      <c r="BB83" s="34">
        <f>VLOOKUP($A83,'[1]Init $$'!$B$3:$CG$118,54,FALSE)</f>
        <v>0</v>
      </c>
      <c r="BC83" s="34">
        <f>VLOOKUP($A83,'[1]Init $$'!$B$3:$CG$118,55,FALSE)</f>
        <v>0</v>
      </c>
      <c r="BD83" s="34">
        <f>VLOOKUP($A83,'[1]Init $$'!$B$3:$CG$118,56,FALSE)</f>
        <v>0</v>
      </c>
      <c r="BE83" s="34">
        <f>VLOOKUP($A83,'[1]Init $$'!$B$3:$CG$118,57,FALSE)</f>
        <v>5250</v>
      </c>
      <c r="BF83" s="43">
        <f>'Est gen ed 23 $$'!BF83/'Est gen ed 23 pos'!BF$123</f>
        <v>0</v>
      </c>
      <c r="BG83" s="43">
        <f>'Est gen ed 23 $$'!BG83/'Est gen ed 23 pos'!BG$123</f>
        <v>0</v>
      </c>
      <c r="BH83" s="34">
        <f>VLOOKUP($A83,'[1]Init $$'!$B$3:$CG$118,60,FALSE)</f>
        <v>0</v>
      </c>
      <c r="BI83" s="34">
        <f>VLOOKUP($A83,'[1]Init $$'!$B$3:$CG$118,61,FALSE)</f>
        <v>0</v>
      </c>
      <c r="BJ83" s="34">
        <f>VLOOKUP($A83,'[1]Init $$'!$B$3:$CG$118,62,FALSE)</f>
        <v>0</v>
      </c>
      <c r="BK83" s="43">
        <f>'Est gen ed 23 $$'!BK83/'Est gen ed 23 pos'!BK$123</f>
        <v>0</v>
      </c>
      <c r="BL83" s="34">
        <f>VLOOKUP($A83,'[1]Init $$'!$B$3:$CG$118,64,FALSE)</f>
        <v>0</v>
      </c>
      <c r="BM83" s="43">
        <f>'Est gen ed 23 $$'!BM83/'Est gen ed 23 pos'!BM$123</f>
        <v>0</v>
      </c>
      <c r="BN83" s="34">
        <f>VLOOKUP($A83,'[1]Init $$'!$B$3:$CG$118,66,FALSE)</f>
        <v>0</v>
      </c>
      <c r="BO83" s="43">
        <f>'Est gen ed 23 $$'!BO83/'Est gen ed 23 pos'!BO$123</f>
        <v>0</v>
      </c>
      <c r="BP83" s="34">
        <f>VLOOKUP($A83,'[1]Init $$'!$B$3:$CG$118,68,FALSE)</f>
        <v>0</v>
      </c>
      <c r="BQ83" s="43">
        <f>'Est gen ed 23 $$'!BQ83/'Est gen ed 23 pos'!BQ$123</f>
        <v>0</v>
      </c>
      <c r="BR83" s="43">
        <f>'Est gen ed 23 $$'!BR83/'Est gen ed 23 pos'!BR$123</f>
        <v>0</v>
      </c>
      <c r="BS83" s="34">
        <f>VLOOKUP($A83,'[1]Init $$'!$B$3:$CG$118,71,FALSE)</f>
        <v>0</v>
      </c>
      <c r="BT83" s="34">
        <f>VLOOKUP($A83,'[1]Init $$'!$B$3:$CG$118,72,FALSE)</f>
        <v>0</v>
      </c>
      <c r="BU83" s="34">
        <f>VLOOKUP($A83,'[1]Init $$'!$B$3:$CG$118,73,FALSE)</f>
        <v>0</v>
      </c>
      <c r="BV83" s="34">
        <f>VLOOKUP($A83,'[1]Init $$'!$B$3:$CG$118,74,FALSE)</f>
        <v>0</v>
      </c>
      <c r="BW83" s="34">
        <f>VLOOKUP($A83,'[1]Init $$'!$B$3:$CG$118,75,FALSE)</f>
        <v>0</v>
      </c>
      <c r="BX83" s="43">
        <f>'Est gen ed 23 $$'!BX83/'Est gen ed 23 pos'!BX$123</f>
        <v>0</v>
      </c>
      <c r="BY83" s="43">
        <f>'Est gen ed 23 $$'!BY83/'Est gen ed 23 pos'!BY$123</f>
        <v>0</v>
      </c>
      <c r="BZ83" s="43">
        <f>'Est gen ed 23 $$'!BZ83/'Est gen ed 23 pos'!BZ$123</f>
        <v>0</v>
      </c>
      <c r="CA83" s="34">
        <f>VLOOKUP($A83,'[1]Init $$'!$B$3:$CG$118,79,FALSE)</f>
        <v>45602.57</v>
      </c>
      <c r="CB83" s="34">
        <f>VLOOKUP($A83,'[1]Init $$'!$B$3:$CG$118,80,FALSE)</f>
        <v>0</v>
      </c>
      <c r="CC83" s="34">
        <f>VLOOKUP($A83,'[1]Init $$'!$B$3:$CG$118,81,FALSE)</f>
        <v>154478.10999999999</v>
      </c>
      <c r="CD83" s="34">
        <f>VLOOKUP($A83,'[1]Init $$'!$B$3:$CG$118,82,FALSE)</f>
        <v>103649.49</v>
      </c>
      <c r="CE83" s="34">
        <f>VLOOKUP($A83,'[1]Init $$'!$B$3:$CG$118,83,FALSE)</f>
        <v>146239.35</v>
      </c>
      <c r="CF83" s="34">
        <f>VLOOKUP($A83,'[1]Init $$'!$B$3:$CG$118,84,FALSE)</f>
        <v>70972.17</v>
      </c>
      <c r="CJ83" s="28">
        <f t="shared" si="6"/>
        <v>1302907.4899988167</v>
      </c>
      <c r="CK83" s="43">
        <f>'Est gen ed 23 $$'!CK83/'Est gen ed 23 pos'!CK$123</f>
        <v>0.99999604682144683</v>
      </c>
      <c r="CL83" s="43">
        <f>'Est gen ed 23 $$'!CL83/'Est gen ed 23 pos'!CL$123</f>
        <v>0</v>
      </c>
      <c r="CM83" s="43">
        <f>'Est gen ed 23 $$'!CM83/'Est gen ed 23 pos'!CM$123</f>
        <v>0.5</v>
      </c>
      <c r="CN83" s="43">
        <f>'Est gen ed 23 $$'!CN83/'Est gen ed 23 pos'!CN$123</f>
        <v>0</v>
      </c>
      <c r="CO83" s="43">
        <f>'Est gen ed 23 $$'!CO83/'Est gen ed 23 pos'!CO$123</f>
        <v>0</v>
      </c>
      <c r="CP83" s="43">
        <f>'Est gen ed 23 $$'!CP83/'Est gen ed 23 pos'!CP$123</f>
        <v>0</v>
      </c>
      <c r="CQ83" s="43">
        <f>'Est gen ed 23 $$'!CQ83/'Est gen ed 23 pos'!CQ$123</f>
        <v>0.99999604682144683</v>
      </c>
      <c r="CR83" s="43">
        <f>'Est gen ed 23 $$'!CR83/'Est gen ed 23 pos'!CR$123</f>
        <v>0.99999604682144683</v>
      </c>
      <c r="CS83" s="43">
        <f>'Est gen ed 23 $$'!CS83/'Est gen ed 23 pos'!CS$123</f>
        <v>0.99999604682144683</v>
      </c>
      <c r="CT83" s="43">
        <f>'Est gen ed 23 $$'!CT83/'Est gen ed 23 pos'!CT$123</f>
        <v>4</v>
      </c>
      <c r="CU83" s="43">
        <f>'Est gen ed 23 $$'!CU83/'Est gen ed 23 pos'!CU$123</f>
        <v>4</v>
      </c>
      <c r="CZ83" s="43">
        <f>'Est gen ed 23 $$'!CW83/'Est gen ed 23 pos'!CZ$123</f>
        <v>0</v>
      </c>
      <c r="DB83" s="28">
        <f t="shared" si="7"/>
        <v>430056</v>
      </c>
      <c r="DC83" s="28">
        <f t="shared" si="4"/>
        <v>475339.11999999994</v>
      </c>
      <c r="DK83" s="34"/>
      <c r="DL83" s="34"/>
    </row>
    <row r="84" spans="1:116" x14ac:dyDescent="0.2">
      <c r="A84">
        <v>478</v>
      </c>
      <c r="B84" t="s">
        <v>45</v>
      </c>
      <c r="C84" t="s">
        <v>1</v>
      </c>
      <c r="D84">
        <v>5</v>
      </c>
      <c r="E84">
        <f>VLOOKUP($A84,'[1]Init $$'!$B$3:$CG$118,4,FALSE)</f>
        <v>352</v>
      </c>
      <c r="F84">
        <f>VLOOKUP($A84,'[1]Init $$'!$B$3:$CG$118,6,FALSE)</f>
        <v>352</v>
      </c>
      <c r="G84">
        <f>VLOOKUP($A84,'[2]$$xSchpostCouncilxLevel'!$A$4:$EW$120,153,FALSE)</f>
        <v>306</v>
      </c>
      <c r="H84" s="50">
        <f t="shared" si="5"/>
        <v>46</v>
      </c>
      <c r="I84" s="4">
        <f>VLOOKUP($A84,'[1]Init $$'!$B$3:$CG$118,8,FALSE)</f>
        <v>0.62784090909090906</v>
      </c>
      <c r="J84">
        <f>VLOOKUP($A84,'[1]Init $$'!$B$3:$CG$118,7,FALSE)</f>
        <v>221</v>
      </c>
      <c r="K84" s="43">
        <f>'Est gen ed 23 $$'!K84/'Est gen ed 23 pos'!K$123</f>
        <v>1</v>
      </c>
      <c r="L84" s="43">
        <f>'Est gen ed 23 $$'!L84/'Est gen ed 23 pos'!L$123</f>
        <v>0</v>
      </c>
      <c r="M84" s="43">
        <f>'Est gen ed 23 $$'!M84/'Est gen ed 23 pos'!M$123</f>
        <v>1.4999992213354096</v>
      </c>
      <c r="N84" s="43">
        <f>'Est gen ed 23 $$'!N84/'Est gen ed 23 pos'!N$123</f>
        <v>1</v>
      </c>
      <c r="O84" s="34">
        <f>VLOOKUP($A84,'[1]Init $$'!$B$3:$CG$118,15,FALSE)</f>
        <v>14412.07</v>
      </c>
      <c r="P84" s="43">
        <f>'Est gen ed 23 $$'!P84/'Est gen ed 23 pos'!P$123</f>
        <v>1</v>
      </c>
      <c r="Q84" s="43">
        <f>'Est gen ed 23 $$'!Q84/'Est gen ed 23 pos'!Q$123</f>
        <v>1</v>
      </c>
      <c r="R84" s="43">
        <f>'Est gen ed 23 $$'!R84/'Est gen ed 23 pos'!R$123</f>
        <v>4.0000003907222226</v>
      </c>
      <c r="S84" s="43">
        <f>'Est gen ed 23 $$'!S84/'Est gen ed 23 pos'!S$123</f>
        <v>1</v>
      </c>
      <c r="T84" s="43">
        <f>'Est gen ed 23 $$'!T84/'Est gen ed 23 pos'!T$123</f>
        <v>0</v>
      </c>
      <c r="U84" s="43">
        <f>'Est gen ed 23 $$'!U84/'Est gen ed 23 pos'!U$123</f>
        <v>0</v>
      </c>
      <c r="V84" s="43">
        <f>'Est gen ed 23 $$'!V84/'Est gen ed 23 pos'!V$123</f>
        <v>0</v>
      </c>
      <c r="W84" s="43">
        <f>'Est gen ed 23 $$'!W84/'Est gen ed 23 pos'!W$123</f>
        <v>0</v>
      </c>
      <c r="X84" s="34">
        <f>VLOOKUP($A84,'[1]Init $$'!$B$3:$CG$118,24,FALSE)</f>
        <v>0</v>
      </c>
      <c r="Y84" s="34">
        <f>VLOOKUP($A84,'[1]Init $$'!$B$3:$CG$118,25,FALSE)</f>
        <v>0</v>
      </c>
      <c r="Z84" s="34">
        <f>VLOOKUP($A84,'[1]Init $$'!$B$3:$CG$118,26,FALSE)</f>
        <v>0</v>
      </c>
      <c r="AA84" s="34">
        <f>VLOOKUP($A84,'[1]Init $$'!$B$3:$CG$118,27,FALSE)</f>
        <v>0</v>
      </c>
      <c r="AB84" s="43">
        <f>'Est gen ed 23 $$'!AB84/'Est gen ed 23 pos'!AB$123</f>
        <v>3.9999998243031758</v>
      </c>
      <c r="AC84" s="43">
        <f>'Est gen ed 23 $$'!AC84/'Est gen ed 23 pos'!AC$123</f>
        <v>2.264114494592711</v>
      </c>
      <c r="AD84" s="43">
        <f>'Est gen ed 23 $$'!AD84/'Est gen ed 23 pos'!AD$123</f>
        <v>0</v>
      </c>
      <c r="AE84" s="43">
        <f>'Est gen ed 23 $$'!AE84/'Est gen ed 23 pos'!AE$123</f>
        <v>1.9999999121515879</v>
      </c>
      <c r="AF84" s="34">
        <f>VLOOKUP($A84,'[1]Init $$'!$B$3:$CG$118,32,FALSE)</f>
        <v>2102496</v>
      </c>
      <c r="AG84" s="34">
        <f>VLOOKUP($A84,'[1]Init $$'!$B$3:$CG$118,33,FALSE)</f>
        <v>208736</v>
      </c>
      <c r="AH84" s="43">
        <f>'Est gen ed 23 $$'!AH84/'Est gen ed 23 pos'!AH$123</f>
        <v>1</v>
      </c>
      <c r="AI84" s="43">
        <f>'Est gen ed 23 $$'!AI84/'Est gen ed 23 pos'!AI$123</f>
        <v>1</v>
      </c>
      <c r="AJ84" s="43">
        <f>'Est gen ed 23 $$'!AJ84/'Est gen ed 23 pos'!AJ$123</f>
        <v>4.9999998243031758</v>
      </c>
      <c r="AK84" s="43">
        <f>'Est gen ed 23 $$'!AK84/'Est gen ed 23 pos'!AK$123</f>
        <v>0</v>
      </c>
      <c r="AL84" s="43">
        <f>'Est gen ed 23 $$'!AL84/'Est gen ed 23 pos'!AL$123</f>
        <v>0</v>
      </c>
      <c r="AM84" s="43">
        <f>'Est gen ed 23 $$'!AM84/'Est gen ed 23 pos'!AM$123</f>
        <v>0</v>
      </c>
      <c r="AN84" s="43">
        <f>'Est gen ed 23 $$'!AN84/'Est gen ed 23 pos'!AN$123</f>
        <v>0</v>
      </c>
      <c r="AO84" s="43">
        <f>'Est gen ed 23 $$'!AO84/'Est gen ed 23 pos'!AO$123</f>
        <v>0</v>
      </c>
      <c r="AP84" s="34">
        <f>VLOOKUP($A84,'[1]Init $$'!$B$3:$CG$118,42,FALSE)</f>
        <v>87803.1</v>
      </c>
      <c r="AQ84" s="34">
        <f>VLOOKUP($A84,'[1]Init $$'!$B$3:$CG$118,43,FALSE)</f>
        <v>0</v>
      </c>
      <c r="AR84" s="43">
        <f>'Est gen ed 23 $$'!AR84/'Est gen ed 23 pos'!AR$123</f>
        <v>1</v>
      </c>
      <c r="AS84" s="43">
        <f>'Est gen ed 23 $$'!AS84/'Est gen ed 23 pos'!AS$123</f>
        <v>0</v>
      </c>
      <c r="AT84" s="43">
        <f>'Est gen ed 23 $$'!AT84/'Est gen ed 23 pos'!AT$123</f>
        <v>0</v>
      </c>
      <c r="AU84" s="34">
        <f>VLOOKUP($A84,'[1]Init $$'!$B$3:$CG$118,47,FALSE)</f>
        <v>19710.900000000001</v>
      </c>
      <c r="AV84" s="34">
        <f>VLOOKUP($A84,'[1]Init $$'!$B$3:$CG$118,48,FALSE)</f>
        <v>0</v>
      </c>
      <c r="AW84" s="34">
        <f>VLOOKUP($A84,'[1]Init $$'!$B$3:$CG$118,49,FALSE)</f>
        <v>0</v>
      </c>
      <c r="AX84" s="34">
        <f>VLOOKUP($A84,'[1]Init $$'!$B$3:$CG$118,50,FALSE)</f>
        <v>0</v>
      </c>
      <c r="AY84" s="34">
        <f>VLOOKUP($A84,'[1]Init $$'!$B$3:$CG$118,51,FALSE)</f>
        <v>40000</v>
      </c>
      <c r="AZ84" s="34">
        <f>VLOOKUP($A84,'[1]Init $$'!$B$3:$CG$118,52,FALSE)</f>
        <v>0</v>
      </c>
      <c r="BA84" s="34">
        <f>VLOOKUP($A84,'[1]Init $$'!$B$3:$CG$118,53,FALSE)</f>
        <v>0</v>
      </c>
      <c r="BB84" s="34">
        <f>VLOOKUP($A84,'[1]Init $$'!$B$3:$CG$118,54,FALSE)</f>
        <v>0</v>
      </c>
      <c r="BC84" s="34">
        <f>VLOOKUP($A84,'[1]Init $$'!$B$3:$CG$118,55,FALSE)</f>
        <v>122956.36</v>
      </c>
      <c r="BD84" s="34">
        <f>VLOOKUP($A84,'[1]Init $$'!$B$3:$CG$118,56,FALSE)</f>
        <v>1980.52</v>
      </c>
      <c r="BE84" s="34">
        <f>VLOOKUP($A84,'[1]Init $$'!$B$3:$CG$118,57,FALSE)</f>
        <v>0</v>
      </c>
      <c r="BF84" s="43">
        <f>'Est gen ed 23 $$'!BF84/'Est gen ed 23 pos'!BF$123</f>
        <v>0</v>
      </c>
      <c r="BG84" s="43">
        <f>'Est gen ed 23 $$'!BG84/'Est gen ed 23 pos'!BG$123</f>
        <v>0</v>
      </c>
      <c r="BH84" s="34">
        <f>VLOOKUP($A84,'[1]Init $$'!$B$3:$CG$118,60,FALSE)</f>
        <v>0</v>
      </c>
      <c r="BI84" s="34">
        <f>VLOOKUP($A84,'[1]Init $$'!$B$3:$CG$118,61,FALSE)</f>
        <v>0</v>
      </c>
      <c r="BJ84" s="34">
        <f>VLOOKUP($A84,'[1]Init $$'!$B$3:$CG$118,62,FALSE)</f>
        <v>0</v>
      </c>
      <c r="BK84" s="43">
        <f>'Est gen ed 23 $$'!BK84/'Est gen ed 23 pos'!BK$123</f>
        <v>0</v>
      </c>
      <c r="BL84" s="34">
        <f>VLOOKUP($A84,'[1]Init $$'!$B$3:$CG$118,64,FALSE)</f>
        <v>0</v>
      </c>
      <c r="BM84" s="43">
        <f>'Est gen ed 23 $$'!BM84/'Est gen ed 23 pos'!BM$123</f>
        <v>0</v>
      </c>
      <c r="BN84" s="34">
        <f>VLOOKUP($A84,'[1]Init $$'!$B$3:$CG$118,66,FALSE)</f>
        <v>0</v>
      </c>
      <c r="BO84" s="43">
        <f>'Est gen ed 23 $$'!BO84/'Est gen ed 23 pos'!BO$123</f>
        <v>0</v>
      </c>
      <c r="BP84" s="34">
        <f>VLOOKUP($A84,'[1]Init $$'!$B$3:$CG$118,68,FALSE)</f>
        <v>0</v>
      </c>
      <c r="BQ84" s="43">
        <f>'Est gen ed 23 $$'!BQ84/'Est gen ed 23 pos'!BQ$123</f>
        <v>0</v>
      </c>
      <c r="BR84" s="43">
        <f>'Est gen ed 23 $$'!BR84/'Est gen ed 23 pos'!BR$123</f>
        <v>0</v>
      </c>
      <c r="BS84" s="34">
        <f>VLOOKUP($A84,'[1]Init $$'!$B$3:$CG$118,71,FALSE)</f>
        <v>0</v>
      </c>
      <c r="BT84" s="34">
        <f>VLOOKUP($A84,'[1]Init $$'!$B$3:$CG$118,72,FALSE)</f>
        <v>0</v>
      </c>
      <c r="BU84" s="34">
        <f>VLOOKUP($A84,'[1]Init $$'!$B$3:$CG$118,73,FALSE)</f>
        <v>0</v>
      </c>
      <c r="BV84" s="34">
        <f>VLOOKUP($A84,'[1]Init $$'!$B$3:$CG$118,74,FALSE)</f>
        <v>0</v>
      </c>
      <c r="BW84" s="34">
        <f>VLOOKUP($A84,'[1]Init $$'!$B$3:$CG$118,75,FALSE)</f>
        <v>55921</v>
      </c>
      <c r="BX84" s="43">
        <f>'Est gen ed 23 $$'!BX84/'Est gen ed 23 pos'!BX$123</f>
        <v>1.0000041250219776</v>
      </c>
      <c r="BY84" s="43">
        <f>'Est gen ed 23 $$'!BY84/'Est gen ed 23 pos'!BY$123</f>
        <v>1</v>
      </c>
      <c r="BZ84" s="43">
        <f>'Est gen ed 23 $$'!BZ84/'Est gen ed 23 pos'!BZ$123</f>
        <v>0</v>
      </c>
      <c r="CA84" s="34">
        <f>VLOOKUP($A84,'[1]Init $$'!$B$3:$CG$118,79,FALSE)</f>
        <v>656542.85</v>
      </c>
      <c r="CB84" s="34">
        <f>VLOOKUP($A84,'[1]Init $$'!$B$3:$CG$118,80,FALSE)</f>
        <v>95806.92</v>
      </c>
      <c r="CC84" s="34">
        <f>VLOOKUP($A84,'[1]Init $$'!$B$3:$CG$118,81,FALSE)</f>
        <v>0</v>
      </c>
      <c r="CD84" s="34">
        <f>VLOOKUP($A84,'[1]Init $$'!$B$3:$CG$118,82,FALSE)</f>
        <v>0</v>
      </c>
      <c r="CE84" s="34">
        <f>VLOOKUP($A84,'[1]Init $$'!$B$3:$CG$118,83,FALSE)</f>
        <v>0</v>
      </c>
      <c r="CF84" s="34">
        <f>VLOOKUP($A84,'[1]Init $$'!$B$3:$CG$118,84,FALSE)</f>
        <v>0</v>
      </c>
      <c r="CJ84" s="28">
        <f t="shared" si="6"/>
        <v>3406394.4841177925</v>
      </c>
      <c r="CK84" s="43">
        <f>'Est gen ed 23 $$'!CK84/'Est gen ed 23 pos'!CK$123</f>
        <v>0.99999604682144683</v>
      </c>
      <c r="CL84" s="43">
        <f>'Est gen ed 23 $$'!CL84/'Est gen ed 23 pos'!CL$123</f>
        <v>1.1733333333333333</v>
      </c>
      <c r="CM84" s="43">
        <f>'Est gen ed 23 $$'!CM84/'Est gen ed 23 pos'!CM$123</f>
        <v>1</v>
      </c>
      <c r="CN84" s="43">
        <f>'Est gen ed 23 $$'!CN84/'Est gen ed 23 pos'!CN$123</f>
        <v>0</v>
      </c>
      <c r="CO84" s="43">
        <f>'Est gen ed 23 $$'!CO84/'Est gen ed 23 pos'!CO$123</f>
        <v>1</v>
      </c>
      <c r="CP84" s="43">
        <f>'Est gen ed 23 $$'!CP84/'Est gen ed 23 pos'!CP$123</f>
        <v>1</v>
      </c>
      <c r="CQ84" s="43">
        <f>'Est gen ed 23 $$'!CQ84/'Est gen ed 23 pos'!CQ$123</f>
        <v>0</v>
      </c>
      <c r="CR84" s="43">
        <f>'Est gen ed 23 $$'!CR84/'Est gen ed 23 pos'!CR$123</f>
        <v>0</v>
      </c>
      <c r="CS84" s="43">
        <f>'Est gen ed 23 $$'!CS84/'Est gen ed 23 pos'!CS$123</f>
        <v>0</v>
      </c>
      <c r="CT84" s="43">
        <f>'Est gen ed 23 $$'!CT84/'Est gen ed 23 pos'!CT$123</f>
        <v>0</v>
      </c>
      <c r="CU84" s="43">
        <f>'Est gen ed 23 $$'!CU84/'Est gen ed 23 pos'!CU$123</f>
        <v>20.999999999999996</v>
      </c>
      <c r="CZ84" s="43">
        <f>'Est gen ed 23 $$'!CW84/'Est gen ed 23 pos'!CZ$123</f>
        <v>0.9999965685612755</v>
      </c>
      <c r="DB84" s="28">
        <f t="shared" si="7"/>
        <v>2102496</v>
      </c>
      <c r="DC84" s="28">
        <f t="shared" si="4"/>
        <v>0</v>
      </c>
      <c r="DK84" s="34"/>
      <c r="DL84" s="34"/>
    </row>
    <row r="85" spans="1:116" x14ac:dyDescent="0.2">
      <c r="A85">
        <v>299</v>
      </c>
      <c r="B85" t="s">
        <v>44</v>
      </c>
      <c r="C85" t="s">
        <v>7</v>
      </c>
      <c r="D85">
        <v>7</v>
      </c>
      <c r="E85">
        <f>VLOOKUP($A85,'[1]Init $$'!$B$3:$CG$118,4,FALSE)</f>
        <v>221</v>
      </c>
      <c r="F85">
        <f>VLOOKUP($A85,'[1]Init $$'!$B$3:$CG$118,6,FALSE)</f>
        <v>157</v>
      </c>
      <c r="G85">
        <f>VLOOKUP($A85,'[2]$$xSchpostCouncilxLevel'!$A$4:$EW$120,153,FALSE)</f>
        <v>175</v>
      </c>
      <c r="H85" s="50">
        <f t="shared" si="5"/>
        <v>-18</v>
      </c>
      <c r="I85" s="4">
        <f>VLOOKUP($A85,'[1]Init $$'!$B$3:$CG$118,8,FALSE)</f>
        <v>0.80090497737556565</v>
      </c>
      <c r="J85">
        <f>VLOOKUP($A85,'[1]Init $$'!$B$3:$CG$118,7,FALSE)</f>
        <v>177</v>
      </c>
      <c r="K85" s="43">
        <f>'Est gen ed 23 $$'!K85/'Est gen ed 23 pos'!K$123</f>
        <v>1</v>
      </c>
      <c r="L85" s="43">
        <f>'Est gen ed 23 $$'!L85/'Est gen ed 23 pos'!L$123</f>
        <v>0</v>
      </c>
      <c r="M85" s="43">
        <f>'Est gen ed 23 $$'!M85/'Est gen ed 23 pos'!M$123</f>
        <v>0</v>
      </c>
      <c r="N85" s="43">
        <f>'Est gen ed 23 $$'!N85/'Est gen ed 23 pos'!N$123</f>
        <v>1</v>
      </c>
      <c r="O85" s="34">
        <f>VLOOKUP($A85,'[1]Init $$'!$B$3:$CG$118,15,FALSE)</f>
        <v>5928.6</v>
      </c>
      <c r="P85" s="43">
        <f>'Est gen ed 23 $$'!P85/'Est gen ed 23 pos'!P$123</f>
        <v>1</v>
      </c>
      <c r="Q85" s="43">
        <f>'Est gen ed 23 $$'!Q85/'Est gen ed 23 pos'!Q$123</f>
        <v>1</v>
      </c>
      <c r="R85" s="43">
        <f>'Est gen ed 23 $$'!R85/'Est gen ed 23 pos'!R$123</f>
        <v>1</v>
      </c>
      <c r="S85" s="43">
        <f>'Est gen ed 23 $$'!S85/'Est gen ed 23 pos'!S$123</f>
        <v>1</v>
      </c>
      <c r="T85" s="43">
        <f>'Est gen ed 23 $$'!T85/'Est gen ed 23 pos'!T$123</f>
        <v>0</v>
      </c>
      <c r="U85" s="43">
        <f>'Est gen ed 23 $$'!U85/'Est gen ed 23 pos'!U$123</f>
        <v>3.9999998243031758</v>
      </c>
      <c r="V85" s="43">
        <f>'Est gen ed 23 $$'!V85/'Est gen ed 23 pos'!V$123</f>
        <v>0</v>
      </c>
      <c r="W85" s="43">
        <f>'Est gen ed 23 $$'!W85/'Est gen ed 23 pos'!W$123</f>
        <v>3.9999997446793079</v>
      </c>
      <c r="X85" s="34">
        <f>VLOOKUP($A85,'[1]Init $$'!$B$3:$CG$118,24,FALSE)</f>
        <v>114681.60000000001</v>
      </c>
      <c r="Y85" s="34">
        <f>VLOOKUP($A85,'[1]Init $$'!$B$3:$CG$118,25,FALSE)</f>
        <v>0</v>
      </c>
      <c r="Z85" s="34">
        <f>VLOOKUP($A85,'[1]Init $$'!$B$3:$CG$118,26,FALSE)</f>
        <v>0</v>
      </c>
      <c r="AA85" s="34">
        <f>VLOOKUP($A85,'[1]Init $$'!$B$3:$CG$118,27,FALSE)</f>
        <v>0</v>
      </c>
      <c r="AB85" s="43">
        <f>'Est gen ed 23 $$'!AB85/'Est gen ed 23 pos'!AB$123</f>
        <v>0</v>
      </c>
      <c r="AC85" s="43">
        <f>'Est gen ed 23 $$'!AC85/'Est gen ed 23 pos'!AC$123</f>
        <v>0</v>
      </c>
      <c r="AD85" s="43">
        <f>'Est gen ed 23 $$'!AD85/'Est gen ed 23 pos'!AD$123</f>
        <v>0</v>
      </c>
      <c r="AE85" s="43">
        <f>'Est gen ed 23 $$'!AE85/'Est gen ed 23 pos'!AE$123</f>
        <v>0</v>
      </c>
      <c r="AF85" s="34">
        <f>VLOOKUP($A85,'[1]Init $$'!$B$3:$CG$118,32,FALSE)</f>
        <v>937761</v>
      </c>
      <c r="AG85" s="34">
        <f>VLOOKUP($A85,'[1]Init $$'!$B$3:$CG$118,33,FALSE)</f>
        <v>71825</v>
      </c>
      <c r="AH85" s="43">
        <f>'Est gen ed 23 $$'!AH85/'Est gen ed 23 pos'!AH$123</f>
        <v>1</v>
      </c>
      <c r="AI85" s="43">
        <f>'Est gen ed 23 $$'!AI85/'Est gen ed 23 pos'!AI$123</f>
        <v>1.4999999560757939</v>
      </c>
      <c r="AJ85" s="43">
        <f>'Est gen ed 23 $$'!AJ85/'Est gen ed 23 pos'!AJ$123</f>
        <v>2.9999999121515879</v>
      </c>
      <c r="AK85" s="43">
        <f>'Est gen ed 23 $$'!AK85/'Est gen ed 23 pos'!AK$123</f>
        <v>2.9999999121515879</v>
      </c>
      <c r="AL85" s="43">
        <f>'Est gen ed 23 $$'!AL85/'Est gen ed 23 pos'!AL$123</f>
        <v>5.9999994893586166</v>
      </c>
      <c r="AM85" s="43">
        <f>'Est gen ed 23 $$'!AM85/'Est gen ed 23 pos'!AM$123</f>
        <v>0</v>
      </c>
      <c r="AN85" s="43">
        <f>'Est gen ed 23 $$'!AN85/'Est gen ed 23 pos'!AN$123</f>
        <v>0</v>
      </c>
      <c r="AO85" s="43">
        <f>'Est gen ed 23 $$'!AO85/'Est gen ed 23 pos'!AO$123</f>
        <v>0</v>
      </c>
      <c r="AP85" s="34">
        <f>VLOOKUP($A85,'[1]Init $$'!$B$3:$CG$118,42,FALSE)</f>
        <v>93178.8</v>
      </c>
      <c r="AQ85" s="34">
        <f>VLOOKUP($A85,'[1]Init $$'!$B$3:$CG$118,43,FALSE)</f>
        <v>0</v>
      </c>
      <c r="AR85" s="43">
        <f>'Est gen ed 23 $$'!AR85/'Est gen ed 23 pos'!AR$123</f>
        <v>1</v>
      </c>
      <c r="AS85" s="43">
        <f>'Est gen ed 23 $$'!AS85/'Est gen ed 23 pos'!AS$123</f>
        <v>0</v>
      </c>
      <c r="AT85" s="43">
        <f>'Est gen ed 23 $$'!AT85/'Est gen ed 23 pos'!AT$123</f>
        <v>0</v>
      </c>
      <c r="AU85" s="34">
        <f>VLOOKUP($A85,'[1]Init $$'!$B$3:$CG$118,47,FALSE)</f>
        <v>30462.3</v>
      </c>
      <c r="AV85" s="34">
        <f>VLOOKUP($A85,'[1]Init $$'!$B$3:$CG$118,48,FALSE)</f>
        <v>13600</v>
      </c>
      <c r="AW85" s="34">
        <f>VLOOKUP($A85,'[1]Init $$'!$B$3:$CG$118,49,FALSE)</f>
        <v>13600</v>
      </c>
      <c r="AX85" s="34">
        <f>VLOOKUP($A85,'[1]Init $$'!$B$3:$CG$118,50,FALSE)</f>
        <v>0</v>
      </c>
      <c r="AY85" s="34">
        <f>VLOOKUP($A85,'[1]Init $$'!$B$3:$CG$118,51,FALSE)</f>
        <v>0</v>
      </c>
      <c r="AZ85" s="34">
        <f>VLOOKUP($A85,'[1]Init $$'!$B$3:$CG$118,52,FALSE)</f>
        <v>27200</v>
      </c>
      <c r="BA85" s="34">
        <f>VLOOKUP($A85,'[1]Init $$'!$B$3:$CG$118,53,FALSE)</f>
        <v>10200</v>
      </c>
      <c r="BB85" s="34">
        <f>VLOOKUP($A85,'[1]Init $$'!$B$3:$CG$118,54,FALSE)</f>
        <v>27200</v>
      </c>
      <c r="BC85" s="34">
        <f>VLOOKUP($A85,'[1]Init $$'!$B$3:$CG$118,55,FALSE)</f>
        <v>119601.04</v>
      </c>
      <c r="BD85" s="34">
        <f>VLOOKUP($A85,'[1]Init $$'!$B$3:$CG$118,56,FALSE)</f>
        <v>1926.48</v>
      </c>
      <c r="BE85" s="34">
        <f>VLOOKUP($A85,'[1]Init $$'!$B$3:$CG$118,57,FALSE)</f>
        <v>0</v>
      </c>
      <c r="BF85" s="43">
        <f>'Est gen ed 23 $$'!BF85/'Est gen ed 23 pos'!BF$123</f>
        <v>0</v>
      </c>
      <c r="BG85" s="43">
        <f>'Est gen ed 23 $$'!BG85/'Est gen ed 23 pos'!BG$123</f>
        <v>0</v>
      </c>
      <c r="BH85" s="34">
        <f>VLOOKUP($A85,'[1]Init $$'!$B$3:$CG$118,60,FALSE)</f>
        <v>0</v>
      </c>
      <c r="BI85" s="34">
        <f>VLOOKUP($A85,'[1]Init $$'!$B$3:$CG$118,61,FALSE)</f>
        <v>0</v>
      </c>
      <c r="BJ85" s="34">
        <f>VLOOKUP($A85,'[1]Init $$'!$B$3:$CG$118,62,FALSE)</f>
        <v>0</v>
      </c>
      <c r="BK85" s="43">
        <f>'Est gen ed 23 $$'!BK85/'Est gen ed 23 pos'!BK$123</f>
        <v>0</v>
      </c>
      <c r="BL85" s="34">
        <f>VLOOKUP($A85,'[1]Init $$'!$B$3:$CG$118,64,FALSE)</f>
        <v>0</v>
      </c>
      <c r="BM85" s="43">
        <f>'Est gen ed 23 $$'!BM85/'Est gen ed 23 pos'!BM$123</f>
        <v>0</v>
      </c>
      <c r="BN85" s="34">
        <f>VLOOKUP($A85,'[1]Init $$'!$B$3:$CG$118,66,FALSE)</f>
        <v>0</v>
      </c>
      <c r="BO85" s="43">
        <f>'Est gen ed 23 $$'!BO85/'Est gen ed 23 pos'!BO$123</f>
        <v>0</v>
      </c>
      <c r="BP85" s="34">
        <f>VLOOKUP($A85,'[1]Init $$'!$B$3:$CG$118,68,FALSE)</f>
        <v>0</v>
      </c>
      <c r="BQ85" s="43">
        <f>'Est gen ed 23 $$'!BQ85/'Est gen ed 23 pos'!BQ$123</f>
        <v>0</v>
      </c>
      <c r="BR85" s="43">
        <f>'Est gen ed 23 $$'!BR85/'Est gen ed 23 pos'!BR$123</f>
        <v>0</v>
      </c>
      <c r="BS85" s="34">
        <f>VLOOKUP($A85,'[1]Init $$'!$B$3:$CG$118,71,FALSE)</f>
        <v>0</v>
      </c>
      <c r="BT85" s="34">
        <f>VLOOKUP($A85,'[1]Init $$'!$B$3:$CG$118,72,FALSE)</f>
        <v>0</v>
      </c>
      <c r="BU85" s="34">
        <f>VLOOKUP($A85,'[1]Init $$'!$B$3:$CG$118,73,FALSE)</f>
        <v>0</v>
      </c>
      <c r="BV85" s="34">
        <f>VLOOKUP($A85,'[1]Init $$'!$B$3:$CG$118,74,FALSE)</f>
        <v>0</v>
      </c>
      <c r="BW85" s="34">
        <f>VLOOKUP($A85,'[1]Init $$'!$B$3:$CG$118,75,FALSE)</f>
        <v>0</v>
      </c>
      <c r="BX85" s="43">
        <f>'Est gen ed 23 $$'!BX85/'Est gen ed 23 pos'!BX$123</f>
        <v>0</v>
      </c>
      <c r="BY85" s="43">
        <f>'Est gen ed 23 $$'!BY85/'Est gen ed 23 pos'!BY$123</f>
        <v>0</v>
      </c>
      <c r="BZ85" s="43">
        <f>'Est gen ed 23 $$'!BZ85/'Est gen ed 23 pos'!BZ$123</f>
        <v>0</v>
      </c>
      <c r="CA85" s="34">
        <f>VLOOKUP($A85,'[1]Init $$'!$B$3:$CG$118,79,FALSE)</f>
        <v>474803.21</v>
      </c>
      <c r="CB85" s="34">
        <f>VLOOKUP($A85,'[1]Init $$'!$B$3:$CG$118,80,FALSE)</f>
        <v>105841.56</v>
      </c>
      <c r="CC85" s="34">
        <f>VLOOKUP($A85,'[1]Init $$'!$B$3:$CG$118,81,FALSE)</f>
        <v>154986.56</v>
      </c>
      <c r="CD85" s="34">
        <f>VLOOKUP($A85,'[1]Init $$'!$B$3:$CG$118,82,FALSE)</f>
        <v>193230.93</v>
      </c>
      <c r="CE85" s="34">
        <f>VLOOKUP($A85,'[1]Init $$'!$B$3:$CG$118,83,FALSE)</f>
        <v>251525.46</v>
      </c>
      <c r="CF85" s="34">
        <f>VLOOKUP($A85,'[1]Init $$'!$B$3:$CG$118,84,FALSE)</f>
        <v>0</v>
      </c>
      <c r="CJ85" s="28">
        <f t="shared" si="6"/>
        <v>2647582.0399988391</v>
      </c>
      <c r="CK85" s="43">
        <f>'Est gen ed 23 $$'!CK85/'Est gen ed 23 pos'!CK$123</f>
        <v>0.99999604682144683</v>
      </c>
      <c r="CL85" s="43">
        <f>'Est gen ed 23 $$'!CL85/'Est gen ed 23 pos'!CL$123</f>
        <v>0</v>
      </c>
      <c r="CM85" s="43">
        <f>'Est gen ed 23 $$'!CM85/'Est gen ed 23 pos'!CM$123</f>
        <v>0.5</v>
      </c>
      <c r="CN85" s="43">
        <f>'Est gen ed 23 $$'!CN85/'Est gen ed 23 pos'!CN$123</f>
        <v>0</v>
      </c>
      <c r="CO85" s="43">
        <f>'Est gen ed 23 $$'!CO85/'Est gen ed 23 pos'!CO$123</f>
        <v>0</v>
      </c>
      <c r="CP85" s="43">
        <f>'Est gen ed 23 $$'!CP85/'Est gen ed 23 pos'!CP$123</f>
        <v>0</v>
      </c>
      <c r="CQ85" s="43">
        <f>'Est gen ed 23 $$'!CQ85/'Est gen ed 23 pos'!CQ$123</f>
        <v>0.99999604682144683</v>
      </c>
      <c r="CR85" s="43">
        <f>'Est gen ed 23 $$'!CR85/'Est gen ed 23 pos'!CR$123</f>
        <v>0.99999604682144683</v>
      </c>
      <c r="CS85" s="43">
        <f>'Est gen ed 23 $$'!CS85/'Est gen ed 23 pos'!CS$123</f>
        <v>1.4999940702321701</v>
      </c>
      <c r="CT85" s="43">
        <f>'Est gen ed 23 $$'!CT85/'Est gen ed 23 pos'!CT$123</f>
        <v>2</v>
      </c>
      <c r="CU85" s="43">
        <f>'Est gen ed 23 $$'!CU85/'Est gen ed 23 pos'!CU$123</f>
        <v>10</v>
      </c>
      <c r="CZ85" s="43">
        <f>'Est gen ed 23 $$'!CW85/'Est gen ed 23 pos'!CZ$123</f>
        <v>0</v>
      </c>
      <c r="DB85" s="28">
        <f t="shared" si="7"/>
        <v>937761</v>
      </c>
      <c r="DC85" s="28">
        <f t="shared" si="4"/>
        <v>599742.94999999995</v>
      </c>
      <c r="DK85" s="34"/>
      <c r="DL85" s="34"/>
    </row>
    <row r="86" spans="1:116" x14ac:dyDescent="0.2">
      <c r="A86">
        <v>300</v>
      </c>
      <c r="B86" t="s">
        <v>43</v>
      </c>
      <c r="C86" t="s">
        <v>7</v>
      </c>
      <c r="D86">
        <v>4</v>
      </c>
      <c r="E86">
        <f>VLOOKUP($A86,'[1]Init $$'!$B$3:$CG$118,4,FALSE)</f>
        <v>501</v>
      </c>
      <c r="F86">
        <f>VLOOKUP($A86,'[1]Init $$'!$B$3:$CG$118,6,FALSE)</f>
        <v>421</v>
      </c>
      <c r="G86">
        <f>VLOOKUP($A86,'[2]$$xSchpostCouncilxLevel'!$A$4:$EW$120,153,FALSE)</f>
        <v>433</v>
      </c>
      <c r="H86" s="50">
        <f t="shared" si="5"/>
        <v>-12</v>
      </c>
      <c r="I86" s="4">
        <f>VLOOKUP($A86,'[1]Init $$'!$B$3:$CG$118,8,FALSE)</f>
        <v>0.39321357285429143</v>
      </c>
      <c r="J86">
        <f>VLOOKUP($A86,'[1]Init $$'!$B$3:$CG$118,7,FALSE)</f>
        <v>197</v>
      </c>
      <c r="K86" s="43">
        <f>'Est gen ed 23 $$'!K86/'Est gen ed 23 pos'!K$123</f>
        <v>1</v>
      </c>
      <c r="L86" s="43">
        <f>'Est gen ed 23 $$'!L86/'Est gen ed 23 pos'!L$123</f>
        <v>0</v>
      </c>
      <c r="M86" s="43">
        <f>'Est gen ed 23 $$'!M86/'Est gen ed 23 pos'!M$123</f>
        <v>0</v>
      </c>
      <c r="N86" s="43">
        <f>'Est gen ed 23 $$'!N86/'Est gen ed 23 pos'!N$123</f>
        <v>1</v>
      </c>
      <c r="O86" s="34">
        <f>VLOOKUP($A86,'[1]Init $$'!$B$3:$CG$118,15,FALSE)</f>
        <v>6298.4</v>
      </c>
      <c r="P86" s="43">
        <f>'Est gen ed 23 $$'!P86/'Est gen ed 23 pos'!P$123</f>
        <v>1</v>
      </c>
      <c r="Q86" s="43">
        <f>'Est gen ed 23 $$'!Q86/'Est gen ed 23 pos'!Q$123</f>
        <v>1</v>
      </c>
      <c r="R86" s="43">
        <f>'Est gen ed 23 $$'!R86/'Est gen ed 23 pos'!R$123</f>
        <v>3.0000001953611113</v>
      </c>
      <c r="S86" s="43">
        <f>'Est gen ed 23 $$'!S86/'Est gen ed 23 pos'!S$123</f>
        <v>1</v>
      </c>
      <c r="T86" s="43">
        <f>'Est gen ed 23 $$'!T86/'Est gen ed 23 pos'!T$123</f>
        <v>0</v>
      </c>
      <c r="U86" s="43">
        <f>'Est gen ed 23 $$'!U86/'Est gen ed 23 pos'!U$123</f>
        <v>4.9999998243031758</v>
      </c>
      <c r="V86" s="43">
        <f>'Est gen ed 23 $$'!V86/'Est gen ed 23 pos'!V$123</f>
        <v>0</v>
      </c>
      <c r="W86" s="43">
        <f>'Est gen ed 23 $$'!W86/'Est gen ed 23 pos'!W$123</f>
        <v>4.9999994893586166</v>
      </c>
      <c r="X86" s="34">
        <f>VLOOKUP($A86,'[1]Init $$'!$B$3:$CG$118,24,FALSE)</f>
        <v>143352</v>
      </c>
      <c r="Y86" s="34">
        <f>VLOOKUP($A86,'[1]Init $$'!$B$3:$CG$118,25,FALSE)</f>
        <v>0</v>
      </c>
      <c r="Z86" s="34">
        <f>VLOOKUP($A86,'[1]Init $$'!$B$3:$CG$118,26,FALSE)</f>
        <v>0</v>
      </c>
      <c r="AA86" s="34">
        <f>VLOOKUP($A86,'[1]Init $$'!$B$3:$CG$118,27,FALSE)</f>
        <v>0</v>
      </c>
      <c r="AB86" s="43">
        <f>'Est gen ed 23 $$'!AB86/'Est gen ed 23 pos'!AB$123</f>
        <v>0</v>
      </c>
      <c r="AC86" s="43">
        <f>'Est gen ed 23 $$'!AC86/'Est gen ed 23 pos'!AC$123</f>
        <v>0</v>
      </c>
      <c r="AD86" s="43">
        <f>'Est gen ed 23 $$'!AD86/'Est gen ed 23 pos'!AD$123</f>
        <v>0</v>
      </c>
      <c r="AE86" s="43">
        <f>'Est gen ed 23 $$'!AE86/'Est gen ed 23 pos'!AE$123</f>
        <v>0</v>
      </c>
      <c r="AF86" s="34">
        <f>VLOOKUP($A86,'[1]Init $$'!$B$3:$CG$118,32,FALSE)</f>
        <v>2514633</v>
      </c>
      <c r="AG86" s="34">
        <f>VLOOKUP($A86,'[1]Init $$'!$B$3:$CG$118,33,FALSE)</f>
        <v>162825</v>
      </c>
      <c r="AH86" s="43">
        <f>'Est gen ed 23 $$'!AH86/'Est gen ed 23 pos'!AH$123</f>
        <v>1</v>
      </c>
      <c r="AI86" s="43">
        <f>'Est gen ed 23 $$'!AI86/'Est gen ed 23 pos'!AI$123</f>
        <v>1.9999999121515879</v>
      </c>
      <c r="AJ86" s="43">
        <f>'Est gen ed 23 $$'!AJ86/'Est gen ed 23 pos'!AJ$123</f>
        <v>4.9999998243031758</v>
      </c>
      <c r="AK86" s="43">
        <f>'Est gen ed 23 $$'!AK86/'Est gen ed 23 pos'!AK$123</f>
        <v>0</v>
      </c>
      <c r="AL86" s="43">
        <f>'Est gen ed 23 $$'!AL86/'Est gen ed 23 pos'!AL$123</f>
        <v>0</v>
      </c>
      <c r="AM86" s="43">
        <f>'Est gen ed 23 $$'!AM86/'Est gen ed 23 pos'!AM$123</f>
        <v>0</v>
      </c>
      <c r="AN86" s="43">
        <f>'Est gen ed 23 $$'!AN86/'Est gen ed 23 pos'!AN$123</f>
        <v>0</v>
      </c>
      <c r="AO86" s="43">
        <f>'Est gen ed 23 $$'!AO86/'Est gen ed 23 pos'!AO$123</f>
        <v>0</v>
      </c>
      <c r="AP86" s="34">
        <f>VLOOKUP($A86,'[1]Init $$'!$B$3:$CG$118,42,FALSE)</f>
        <v>102138.3</v>
      </c>
      <c r="AQ86" s="34">
        <f>VLOOKUP($A86,'[1]Init $$'!$B$3:$CG$118,43,FALSE)</f>
        <v>0</v>
      </c>
      <c r="AR86" s="43">
        <f>'Est gen ed 23 $$'!AR86/'Est gen ed 23 pos'!AR$123</f>
        <v>14.999999472909526</v>
      </c>
      <c r="AS86" s="43">
        <f>'Est gen ed 23 $$'!AS86/'Est gen ed 23 pos'!AS$123</f>
        <v>0</v>
      </c>
      <c r="AT86" s="43">
        <f>'Est gen ed 23 $$'!AT86/'Est gen ed 23 pos'!AT$123</f>
        <v>1</v>
      </c>
      <c r="AU86" s="34">
        <f>VLOOKUP($A86,'[1]Init $$'!$B$3:$CG$118,47,FALSE)</f>
        <v>573408</v>
      </c>
      <c r="AV86" s="34">
        <f>VLOOKUP($A86,'[1]Init $$'!$B$3:$CG$118,48,FALSE)</f>
        <v>27200</v>
      </c>
      <c r="AW86" s="34">
        <f>VLOOKUP($A86,'[1]Init $$'!$B$3:$CG$118,49,FALSE)</f>
        <v>47600</v>
      </c>
      <c r="AX86" s="34">
        <f>VLOOKUP($A86,'[1]Init $$'!$B$3:$CG$118,50,FALSE)</f>
        <v>10200</v>
      </c>
      <c r="AY86" s="34">
        <f>VLOOKUP($A86,'[1]Init $$'!$B$3:$CG$118,51,FALSE)</f>
        <v>0</v>
      </c>
      <c r="AZ86" s="34">
        <f>VLOOKUP($A86,'[1]Init $$'!$B$3:$CG$118,52,FALSE)</f>
        <v>47600</v>
      </c>
      <c r="BA86" s="34">
        <f>VLOOKUP($A86,'[1]Init $$'!$B$3:$CG$118,53,FALSE)</f>
        <v>0</v>
      </c>
      <c r="BB86" s="34">
        <f>VLOOKUP($A86,'[1]Init $$'!$B$3:$CG$118,54,FALSE)</f>
        <v>68000</v>
      </c>
      <c r="BC86" s="34">
        <f>VLOOKUP($A86,'[1]Init $$'!$B$3:$CG$118,55,FALSE)</f>
        <v>119492.8</v>
      </c>
      <c r="BD86" s="34">
        <f>VLOOKUP($A86,'[1]Init $$'!$B$3:$CG$118,56,FALSE)</f>
        <v>1924.73</v>
      </c>
      <c r="BE86" s="34">
        <f>VLOOKUP($A86,'[1]Init $$'!$B$3:$CG$118,57,FALSE)</f>
        <v>0</v>
      </c>
      <c r="BF86" s="43">
        <f>'Est gen ed 23 $$'!BF86/'Est gen ed 23 pos'!BF$123</f>
        <v>0</v>
      </c>
      <c r="BG86" s="43">
        <f>'Est gen ed 23 $$'!BG86/'Est gen ed 23 pos'!BG$123</f>
        <v>0</v>
      </c>
      <c r="BH86" s="34">
        <f>VLOOKUP($A86,'[1]Init $$'!$B$3:$CG$118,60,FALSE)</f>
        <v>0</v>
      </c>
      <c r="BI86" s="34">
        <f>VLOOKUP($A86,'[1]Init $$'!$B$3:$CG$118,61,FALSE)</f>
        <v>0</v>
      </c>
      <c r="BJ86" s="34">
        <f>VLOOKUP($A86,'[1]Init $$'!$B$3:$CG$118,62,FALSE)</f>
        <v>0</v>
      </c>
      <c r="BK86" s="43">
        <f>'Est gen ed 23 $$'!BK86/'Est gen ed 23 pos'!BK$123</f>
        <v>0</v>
      </c>
      <c r="BL86" s="34">
        <f>VLOOKUP($A86,'[1]Init $$'!$B$3:$CG$118,64,FALSE)</f>
        <v>0</v>
      </c>
      <c r="BM86" s="43">
        <f>'Est gen ed 23 $$'!BM86/'Est gen ed 23 pos'!BM$123</f>
        <v>0</v>
      </c>
      <c r="BN86" s="34">
        <f>VLOOKUP($A86,'[1]Init $$'!$B$3:$CG$118,66,FALSE)</f>
        <v>0</v>
      </c>
      <c r="BO86" s="43">
        <f>'Est gen ed 23 $$'!BO86/'Est gen ed 23 pos'!BO$123</f>
        <v>0</v>
      </c>
      <c r="BP86" s="34">
        <f>VLOOKUP($A86,'[1]Init $$'!$B$3:$CG$118,68,FALSE)</f>
        <v>82400</v>
      </c>
      <c r="BQ86" s="43">
        <f>'Est gen ed 23 $$'!BQ86/'Est gen ed 23 pos'!BQ$123</f>
        <v>0</v>
      </c>
      <c r="BR86" s="43">
        <f>'Est gen ed 23 $$'!BR86/'Est gen ed 23 pos'!BR$123</f>
        <v>0</v>
      </c>
      <c r="BS86" s="34">
        <f>VLOOKUP($A86,'[1]Init $$'!$B$3:$CG$118,71,FALSE)</f>
        <v>0</v>
      </c>
      <c r="BT86" s="34">
        <f>VLOOKUP($A86,'[1]Init $$'!$B$3:$CG$118,72,FALSE)</f>
        <v>0</v>
      </c>
      <c r="BU86" s="34">
        <f>VLOOKUP($A86,'[1]Init $$'!$B$3:$CG$118,73,FALSE)</f>
        <v>0</v>
      </c>
      <c r="BV86" s="34">
        <f>VLOOKUP($A86,'[1]Init $$'!$B$3:$CG$118,74,FALSE)</f>
        <v>0</v>
      </c>
      <c r="BW86" s="34">
        <f>VLOOKUP($A86,'[1]Init $$'!$B$3:$CG$118,75,FALSE)</f>
        <v>0</v>
      </c>
      <c r="BX86" s="43">
        <f>'Est gen ed 23 $$'!BX86/'Est gen ed 23 pos'!BX$123</f>
        <v>0</v>
      </c>
      <c r="BY86" s="43">
        <f>'Est gen ed 23 $$'!BY86/'Est gen ed 23 pos'!BY$123</f>
        <v>0</v>
      </c>
      <c r="BZ86" s="43">
        <f>'Est gen ed 23 $$'!BZ86/'Est gen ed 23 pos'!BZ$123</f>
        <v>0</v>
      </c>
      <c r="CA86" s="34">
        <f>VLOOKUP($A86,'[1]Init $$'!$B$3:$CG$118,79,FALSE)</f>
        <v>528453.29</v>
      </c>
      <c r="CB86" s="34">
        <f>VLOOKUP($A86,'[1]Init $$'!$B$3:$CG$118,80,FALSE)</f>
        <v>0</v>
      </c>
      <c r="CC86" s="34">
        <f>VLOOKUP($A86,'[1]Init $$'!$B$3:$CG$118,81,FALSE)</f>
        <v>388944.04</v>
      </c>
      <c r="CD86" s="34">
        <f>VLOOKUP($A86,'[1]Init $$'!$B$3:$CG$118,82,FALSE)</f>
        <v>138336.74</v>
      </c>
      <c r="CE86" s="34">
        <f>VLOOKUP($A86,'[1]Init $$'!$B$3:$CG$118,83,FALSE)</f>
        <v>0</v>
      </c>
      <c r="CF86" s="34">
        <f>VLOOKUP($A86,'[1]Init $$'!$B$3:$CG$118,84,FALSE)</f>
        <v>0</v>
      </c>
      <c r="CJ86" s="28">
        <f t="shared" si="6"/>
        <v>4962848.2999987183</v>
      </c>
      <c r="CK86" s="43">
        <f>'Est gen ed 23 $$'!CK86/'Est gen ed 23 pos'!CK$123</f>
        <v>0.99999604682144683</v>
      </c>
      <c r="CL86" s="43">
        <f>'Est gen ed 23 $$'!CL86/'Est gen ed 23 pos'!CL$123</f>
        <v>1.2524999999999999</v>
      </c>
      <c r="CM86" s="43">
        <f>'Est gen ed 23 $$'!CM86/'Est gen ed 23 pos'!CM$123</f>
        <v>1</v>
      </c>
      <c r="CN86" s="43">
        <f>'Est gen ed 23 $$'!CN86/'Est gen ed 23 pos'!CN$123</f>
        <v>0.79840319361277445</v>
      </c>
      <c r="CO86" s="43">
        <f>'Est gen ed 23 $$'!CO86/'Est gen ed 23 pos'!CO$123</f>
        <v>0</v>
      </c>
      <c r="CP86" s="43">
        <f>'Est gen ed 23 $$'!CP86/'Est gen ed 23 pos'!CP$123</f>
        <v>0</v>
      </c>
      <c r="CQ86" s="43">
        <f>'Est gen ed 23 $$'!CQ86/'Est gen ed 23 pos'!CQ$123</f>
        <v>1.4999940702321701</v>
      </c>
      <c r="CR86" s="43">
        <f>'Est gen ed 23 $$'!CR86/'Est gen ed 23 pos'!CR$123</f>
        <v>1.4999940702321701</v>
      </c>
      <c r="CS86" s="43">
        <f>'Est gen ed 23 $$'!CS86/'Est gen ed 23 pos'!CS$123</f>
        <v>2.499990117053617</v>
      </c>
      <c r="CT86" s="43">
        <f>'Est gen ed 23 $$'!CT86/'Est gen ed 23 pos'!CT$123</f>
        <v>4</v>
      </c>
      <c r="CU86" s="43">
        <f>'Est gen ed 23 $$'!CU86/'Est gen ed 23 pos'!CU$123</f>
        <v>22</v>
      </c>
      <c r="CZ86" s="43">
        <f>'Est gen ed 23 $$'!CW86/'Est gen ed 23 pos'!CZ$123</f>
        <v>0</v>
      </c>
      <c r="DB86" s="28">
        <f t="shared" si="7"/>
        <v>2514633</v>
      </c>
      <c r="DC86" s="28">
        <f t="shared" si="4"/>
        <v>527280.78</v>
      </c>
      <c r="DK86" s="34"/>
      <c r="DL86" s="34"/>
    </row>
    <row r="87" spans="1:116" x14ac:dyDescent="0.2">
      <c r="A87">
        <v>316</v>
      </c>
      <c r="B87" t="s">
        <v>42</v>
      </c>
      <c r="C87" t="s">
        <v>7</v>
      </c>
      <c r="D87">
        <v>7</v>
      </c>
      <c r="E87">
        <f>VLOOKUP($A87,'[1]Init $$'!$B$3:$CG$118,4,FALSE)</f>
        <v>304</v>
      </c>
      <c r="F87">
        <f>VLOOKUP($A87,'[1]Init $$'!$B$3:$CG$118,6,FALSE)</f>
        <v>220</v>
      </c>
      <c r="G87">
        <f>VLOOKUP($A87,'[2]$$xSchpostCouncilxLevel'!$A$4:$EW$120,153,FALSE)</f>
        <v>252</v>
      </c>
      <c r="H87" s="50">
        <f t="shared" si="5"/>
        <v>-32</v>
      </c>
      <c r="I87" s="4">
        <f>VLOOKUP($A87,'[1]Init $$'!$B$3:$CG$118,8,FALSE)</f>
        <v>0.57894736842105265</v>
      </c>
      <c r="J87">
        <f>VLOOKUP($A87,'[1]Init $$'!$B$3:$CG$118,7,FALSE)</f>
        <v>176</v>
      </c>
      <c r="K87" s="43">
        <f>'Est gen ed 23 $$'!K87/'Est gen ed 23 pos'!K$123</f>
        <v>1</v>
      </c>
      <c r="L87" s="43">
        <f>'Est gen ed 23 $$'!L87/'Est gen ed 23 pos'!L$123</f>
        <v>0</v>
      </c>
      <c r="M87" s="43">
        <f>'Est gen ed 23 $$'!M87/'Est gen ed 23 pos'!M$123</f>
        <v>0</v>
      </c>
      <c r="N87" s="43">
        <f>'Est gen ed 23 $$'!N87/'Est gen ed 23 pos'!N$123</f>
        <v>1</v>
      </c>
      <c r="O87" s="34">
        <f>VLOOKUP($A87,'[1]Init $$'!$B$3:$CG$118,15,FALSE)</f>
        <v>6469.35</v>
      </c>
      <c r="P87" s="43">
        <f>'Est gen ed 23 $$'!P87/'Est gen ed 23 pos'!P$123</f>
        <v>1</v>
      </c>
      <c r="Q87" s="43">
        <f>'Est gen ed 23 $$'!Q87/'Est gen ed 23 pos'!Q$123</f>
        <v>1</v>
      </c>
      <c r="R87" s="43">
        <f>'Est gen ed 23 $$'!R87/'Est gen ed 23 pos'!R$123</f>
        <v>2.0000001953611113</v>
      </c>
      <c r="S87" s="43">
        <f>'Est gen ed 23 $$'!S87/'Est gen ed 23 pos'!S$123</f>
        <v>1</v>
      </c>
      <c r="T87" s="43">
        <f>'Est gen ed 23 $$'!T87/'Est gen ed 23 pos'!T$123</f>
        <v>2.9999999121515879</v>
      </c>
      <c r="U87" s="43">
        <f>'Est gen ed 23 $$'!U87/'Est gen ed 23 pos'!U$123</f>
        <v>0</v>
      </c>
      <c r="V87" s="43">
        <f>'Est gen ed 23 $$'!V87/'Est gen ed 23 pos'!V$123</f>
        <v>2.9999999121515879</v>
      </c>
      <c r="W87" s="43">
        <f>'Est gen ed 23 $$'!W87/'Est gen ed 23 pos'!W$123</f>
        <v>5.9999994893586166</v>
      </c>
      <c r="X87" s="34">
        <f>VLOOKUP($A87,'[1]Init $$'!$B$3:$CG$118,24,FALSE)</f>
        <v>150519.6</v>
      </c>
      <c r="Y87" s="34">
        <f>VLOOKUP($A87,'[1]Init $$'!$B$3:$CG$118,25,FALSE)</f>
        <v>0</v>
      </c>
      <c r="Z87" s="34">
        <f>VLOOKUP($A87,'[1]Init $$'!$B$3:$CG$118,26,FALSE)</f>
        <v>0</v>
      </c>
      <c r="AA87" s="34">
        <f>VLOOKUP($A87,'[1]Init $$'!$B$3:$CG$118,27,FALSE)</f>
        <v>0</v>
      </c>
      <c r="AB87" s="43">
        <f>'Est gen ed 23 $$'!AB87/'Est gen ed 23 pos'!AB$123</f>
        <v>0</v>
      </c>
      <c r="AC87" s="43">
        <f>'Est gen ed 23 $$'!AC87/'Est gen ed 23 pos'!AC$123</f>
        <v>0</v>
      </c>
      <c r="AD87" s="43">
        <f>'Est gen ed 23 $$'!AD87/'Est gen ed 23 pos'!AD$123</f>
        <v>0</v>
      </c>
      <c r="AE87" s="43">
        <f>'Est gen ed 23 $$'!AE87/'Est gen ed 23 pos'!AE$123</f>
        <v>0</v>
      </c>
      <c r="AF87" s="34">
        <f>VLOOKUP($A87,'[1]Init $$'!$B$3:$CG$118,32,FALSE)</f>
        <v>1314060</v>
      </c>
      <c r="AG87" s="34">
        <f>VLOOKUP($A87,'[1]Init $$'!$B$3:$CG$118,33,FALSE)</f>
        <v>98800</v>
      </c>
      <c r="AH87" s="43">
        <f>'Est gen ed 23 $$'!AH87/'Est gen ed 23 pos'!AH$123</f>
        <v>1</v>
      </c>
      <c r="AI87" s="43">
        <f>'Est gen ed 23 $$'!AI87/'Est gen ed 23 pos'!AI$123</f>
        <v>1</v>
      </c>
      <c r="AJ87" s="43">
        <f>'Est gen ed 23 $$'!AJ87/'Est gen ed 23 pos'!AJ$123</f>
        <v>3.9999998243031758</v>
      </c>
      <c r="AK87" s="43">
        <f>'Est gen ed 23 $$'!AK87/'Est gen ed 23 pos'!AK$123</f>
        <v>1.9999999121515879</v>
      </c>
      <c r="AL87" s="43">
        <f>'Est gen ed 23 $$'!AL87/'Est gen ed 23 pos'!AL$123</f>
        <v>2.9999997446793083</v>
      </c>
      <c r="AM87" s="43">
        <f>'Est gen ed 23 $$'!AM87/'Est gen ed 23 pos'!AM$123</f>
        <v>0</v>
      </c>
      <c r="AN87" s="43">
        <f>'Est gen ed 23 $$'!AN87/'Est gen ed 23 pos'!AN$123</f>
        <v>1.0000010424267696</v>
      </c>
      <c r="AO87" s="43">
        <f>'Est gen ed 23 $$'!AO87/'Est gen ed 23 pos'!AO$123</f>
        <v>0</v>
      </c>
      <c r="AP87" s="34">
        <f>VLOOKUP($A87,'[1]Init $$'!$B$3:$CG$118,42,FALSE)</f>
        <v>93178.8</v>
      </c>
      <c r="AQ87" s="34">
        <f>VLOOKUP($A87,'[1]Init $$'!$B$3:$CG$118,43,FALSE)</f>
        <v>0</v>
      </c>
      <c r="AR87" s="43">
        <f>'Est gen ed 23 $$'!AR87/'Est gen ed 23 pos'!AR$123</f>
        <v>0</v>
      </c>
      <c r="AS87" s="43">
        <f>'Est gen ed 23 $$'!AS87/'Est gen ed 23 pos'!AS$123</f>
        <v>8.9999995607579389E-2</v>
      </c>
      <c r="AT87" s="43">
        <f>'Est gen ed 23 $$'!AT87/'Est gen ed 23 pos'!AT$123</f>
        <v>0</v>
      </c>
      <c r="AU87" s="34">
        <f>VLOOKUP($A87,'[1]Init $$'!$B$3:$CG$118,47,FALSE)</f>
        <v>3583.8</v>
      </c>
      <c r="AV87" s="34">
        <f>VLOOKUP($A87,'[1]Init $$'!$B$3:$CG$118,48,FALSE)</f>
        <v>13600</v>
      </c>
      <c r="AW87" s="34">
        <f>VLOOKUP($A87,'[1]Init $$'!$B$3:$CG$118,49,FALSE)</f>
        <v>13600</v>
      </c>
      <c r="AX87" s="34">
        <f>VLOOKUP($A87,'[1]Init $$'!$B$3:$CG$118,50,FALSE)</f>
        <v>0</v>
      </c>
      <c r="AY87" s="34">
        <f>VLOOKUP($A87,'[1]Init $$'!$B$3:$CG$118,51,FALSE)</f>
        <v>0</v>
      </c>
      <c r="AZ87" s="34">
        <f>VLOOKUP($A87,'[1]Init $$'!$B$3:$CG$118,52,FALSE)</f>
        <v>20400</v>
      </c>
      <c r="BA87" s="34">
        <f>VLOOKUP($A87,'[1]Init $$'!$B$3:$CG$118,53,FALSE)</f>
        <v>10200</v>
      </c>
      <c r="BB87" s="34">
        <f>VLOOKUP($A87,'[1]Init $$'!$B$3:$CG$118,54,FALSE)</f>
        <v>20400</v>
      </c>
      <c r="BC87" s="34">
        <f>VLOOKUP($A87,'[1]Init $$'!$B$3:$CG$118,55,FALSE)</f>
        <v>136810.6</v>
      </c>
      <c r="BD87" s="34">
        <f>VLOOKUP($A87,'[1]Init $$'!$B$3:$CG$118,56,FALSE)</f>
        <v>2203.6799999999998</v>
      </c>
      <c r="BE87" s="34">
        <f>VLOOKUP($A87,'[1]Init $$'!$B$3:$CG$118,57,FALSE)</f>
        <v>0</v>
      </c>
      <c r="BF87" s="43">
        <f>'Est gen ed 23 $$'!BF87/'Est gen ed 23 pos'!BF$123</f>
        <v>0</v>
      </c>
      <c r="BG87" s="43">
        <f>'Est gen ed 23 $$'!BG87/'Est gen ed 23 pos'!BG$123</f>
        <v>0</v>
      </c>
      <c r="BH87" s="34">
        <f>VLOOKUP($A87,'[1]Init $$'!$B$3:$CG$118,60,FALSE)</f>
        <v>0</v>
      </c>
      <c r="BI87" s="34">
        <f>VLOOKUP($A87,'[1]Init $$'!$B$3:$CG$118,61,FALSE)</f>
        <v>0</v>
      </c>
      <c r="BJ87" s="34">
        <f>VLOOKUP($A87,'[1]Init $$'!$B$3:$CG$118,62,FALSE)</f>
        <v>0</v>
      </c>
      <c r="BK87" s="43">
        <f>'Est gen ed 23 $$'!BK87/'Est gen ed 23 pos'!BK$123</f>
        <v>0</v>
      </c>
      <c r="BL87" s="34">
        <f>VLOOKUP($A87,'[1]Init $$'!$B$3:$CG$118,64,FALSE)</f>
        <v>0</v>
      </c>
      <c r="BM87" s="43">
        <f>'Est gen ed 23 $$'!BM87/'Est gen ed 23 pos'!BM$123</f>
        <v>0</v>
      </c>
      <c r="BN87" s="34">
        <f>VLOOKUP($A87,'[1]Init $$'!$B$3:$CG$118,66,FALSE)</f>
        <v>0</v>
      </c>
      <c r="BO87" s="43">
        <f>'Est gen ed 23 $$'!BO87/'Est gen ed 23 pos'!BO$123</f>
        <v>0</v>
      </c>
      <c r="BP87" s="34">
        <f>VLOOKUP($A87,'[1]Init $$'!$B$3:$CG$118,68,FALSE)</f>
        <v>0</v>
      </c>
      <c r="BQ87" s="43">
        <f>'Est gen ed 23 $$'!BQ87/'Est gen ed 23 pos'!BQ$123</f>
        <v>0</v>
      </c>
      <c r="BR87" s="43">
        <f>'Est gen ed 23 $$'!BR87/'Est gen ed 23 pos'!BR$123</f>
        <v>0</v>
      </c>
      <c r="BS87" s="34">
        <f>VLOOKUP($A87,'[1]Init $$'!$B$3:$CG$118,71,FALSE)</f>
        <v>0</v>
      </c>
      <c r="BT87" s="34">
        <f>VLOOKUP($A87,'[1]Init $$'!$B$3:$CG$118,72,FALSE)</f>
        <v>0</v>
      </c>
      <c r="BU87" s="34">
        <f>VLOOKUP($A87,'[1]Init $$'!$B$3:$CG$118,73,FALSE)</f>
        <v>15325</v>
      </c>
      <c r="BV87" s="34">
        <f>VLOOKUP($A87,'[1]Init $$'!$B$3:$CG$118,74,FALSE)</f>
        <v>0</v>
      </c>
      <c r="BW87" s="34">
        <f>VLOOKUP($A87,'[1]Init $$'!$B$3:$CG$118,75,FALSE)</f>
        <v>0</v>
      </c>
      <c r="BX87" s="43">
        <f>'Est gen ed 23 $$'!BX87/'Est gen ed 23 pos'!BX$123</f>
        <v>0</v>
      </c>
      <c r="BY87" s="43">
        <f>'Est gen ed 23 $$'!BY87/'Est gen ed 23 pos'!BY$123</f>
        <v>0</v>
      </c>
      <c r="BZ87" s="43">
        <f>'Est gen ed 23 $$'!BZ87/'Est gen ed 23 pos'!BZ$123</f>
        <v>0</v>
      </c>
      <c r="CA87" s="34">
        <f>VLOOKUP($A87,'[1]Init $$'!$B$3:$CG$118,79,FALSE)</f>
        <v>472120.7</v>
      </c>
      <c r="CB87" s="34">
        <f>VLOOKUP($A87,'[1]Init $$'!$B$3:$CG$118,80,FALSE)</f>
        <v>64986.239999999998</v>
      </c>
      <c r="CC87" s="34">
        <f>VLOOKUP($A87,'[1]Init $$'!$B$3:$CG$118,81,FALSE)</f>
        <v>0</v>
      </c>
      <c r="CD87" s="34">
        <f>VLOOKUP($A87,'[1]Init $$'!$B$3:$CG$118,82,FALSE)</f>
        <v>0</v>
      </c>
      <c r="CE87" s="34">
        <f>VLOOKUP($A87,'[1]Init $$'!$B$3:$CG$118,83,FALSE)</f>
        <v>248619.62</v>
      </c>
      <c r="CF87" s="34">
        <f>VLOOKUP($A87,'[1]Init $$'!$B$3:$CG$118,84,FALSE)</f>
        <v>0</v>
      </c>
      <c r="CJ87" s="28">
        <f t="shared" si="6"/>
        <v>2684908.4800000284</v>
      </c>
      <c r="CK87" s="43">
        <f>'Est gen ed 23 $$'!CK87/'Est gen ed 23 pos'!CK$123</f>
        <v>0.99999604682144683</v>
      </c>
      <c r="CL87" s="43">
        <f>'Est gen ed 23 $$'!CL87/'Est gen ed 23 pos'!CL$123</f>
        <v>0.76</v>
      </c>
      <c r="CM87" s="43">
        <f>'Est gen ed 23 $$'!CM87/'Est gen ed 23 pos'!CM$123</f>
        <v>1</v>
      </c>
      <c r="CN87" s="43">
        <f>'Est gen ed 23 $$'!CN87/'Est gen ed 23 pos'!CN$123</f>
        <v>0</v>
      </c>
      <c r="CO87" s="43">
        <f>'Est gen ed 23 $$'!CO87/'Est gen ed 23 pos'!CO$123</f>
        <v>0</v>
      </c>
      <c r="CP87" s="43">
        <f>'Est gen ed 23 $$'!CP87/'Est gen ed 23 pos'!CP$123</f>
        <v>0</v>
      </c>
      <c r="CQ87" s="43">
        <f>'Est gen ed 23 $$'!CQ87/'Est gen ed 23 pos'!CQ$123</f>
        <v>0.99999604682144683</v>
      </c>
      <c r="CR87" s="43">
        <f>'Est gen ed 23 $$'!CR87/'Est gen ed 23 pos'!CR$123</f>
        <v>0.99999604682144683</v>
      </c>
      <c r="CS87" s="43">
        <f>'Est gen ed 23 $$'!CS87/'Est gen ed 23 pos'!CS$123</f>
        <v>1.4999940702321701</v>
      </c>
      <c r="CT87" s="43">
        <f>'Est gen ed 23 $$'!CT87/'Est gen ed 23 pos'!CT$123</f>
        <v>2</v>
      </c>
      <c r="CU87" s="43">
        <f>'Est gen ed 23 $$'!CU87/'Est gen ed 23 pos'!CU$123</f>
        <v>12.999999999999998</v>
      </c>
      <c r="CZ87" s="43">
        <f>'Est gen ed 23 $$'!CW87/'Est gen ed 23 pos'!CZ$123</f>
        <v>0</v>
      </c>
      <c r="DB87" s="28">
        <f t="shared" si="7"/>
        <v>1314060</v>
      </c>
      <c r="DC87" s="28">
        <f t="shared" si="4"/>
        <v>248619.62</v>
      </c>
      <c r="DK87" s="34"/>
      <c r="DL87" s="34"/>
    </row>
    <row r="88" spans="1:116" x14ac:dyDescent="0.2">
      <c r="A88">
        <v>302</v>
      </c>
      <c r="B88" t="s">
        <v>41</v>
      </c>
      <c r="C88" t="s">
        <v>7</v>
      </c>
      <c r="D88">
        <v>4</v>
      </c>
      <c r="E88">
        <f>VLOOKUP($A88,'[1]Init $$'!$B$3:$CG$118,4,FALSE)</f>
        <v>394</v>
      </c>
      <c r="F88">
        <f>VLOOKUP($A88,'[1]Init $$'!$B$3:$CG$118,6,FALSE)</f>
        <v>304</v>
      </c>
      <c r="G88">
        <f>VLOOKUP($A88,'[2]$$xSchpostCouncilxLevel'!$A$4:$EW$120,153,FALSE)</f>
        <v>371</v>
      </c>
      <c r="H88" s="50">
        <f t="shared" si="5"/>
        <v>-67</v>
      </c>
      <c r="I88" s="4">
        <f>VLOOKUP($A88,'[1]Init $$'!$B$3:$CG$118,8,FALSE)</f>
        <v>0.53045685279187815</v>
      </c>
      <c r="J88">
        <f>VLOOKUP($A88,'[1]Init $$'!$B$3:$CG$118,7,FALSE)</f>
        <v>209</v>
      </c>
      <c r="K88" s="43">
        <f>'Est gen ed 23 $$'!K88/'Est gen ed 23 pos'!K$123</f>
        <v>1</v>
      </c>
      <c r="L88" s="43">
        <f>'Est gen ed 23 $$'!L88/'Est gen ed 23 pos'!L$123</f>
        <v>0</v>
      </c>
      <c r="M88" s="43">
        <f>'Est gen ed 23 $$'!M88/'Est gen ed 23 pos'!M$123</f>
        <v>0</v>
      </c>
      <c r="N88" s="43">
        <f>'Est gen ed 23 $$'!N88/'Est gen ed 23 pos'!N$123</f>
        <v>1</v>
      </c>
      <c r="O88" s="34">
        <f>VLOOKUP($A88,'[1]Init $$'!$B$3:$CG$118,15,FALSE)</f>
        <v>6391.35</v>
      </c>
      <c r="P88" s="43">
        <f>'Est gen ed 23 $$'!P88/'Est gen ed 23 pos'!P$123</f>
        <v>1</v>
      </c>
      <c r="Q88" s="43">
        <f>'Est gen ed 23 $$'!Q88/'Est gen ed 23 pos'!Q$123</f>
        <v>1</v>
      </c>
      <c r="R88" s="43">
        <f>'Est gen ed 23 $$'!R88/'Est gen ed 23 pos'!R$123</f>
        <v>2.0000001953611113</v>
      </c>
      <c r="S88" s="43">
        <f>'Est gen ed 23 $$'!S88/'Est gen ed 23 pos'!S$123</f>
        <v>1</v>
      </c>
      <c r="T88" s="43">
        <f>'Est gen ed 23 $$'!T88/'Est gen ed 23 pos'!T$123</f>
        <v>2.9999999121515879</v>
      </c>
      <c r="U88" s="43">
        <f>'Est gen ed 23 $$'!U88/'Est gen ed 23 pos'!U$123</f>
        <v>0</v>
      </c>
      <c r="V88" s="43">
        <f>'Est gen ed 23 $$'!V88/'Est gen ed 23 pos'!V$123</f>
        <v>2.9999999121515879</v>
      </c>
      <c r="W88" s="43">
        <f>'Est gen ed 23 $$'!W88/'Est gen ed 23 pos'!W$123</f>
        <v>5.9999994893586166</v>
      </c>
      <c r="X88" s="34">
        <f>VLOOKUP($A88,'[1]Init $$'!$B$3:$CG$118,24,FALSE)</f>
        <v>161271</v>
      </c>
      <c r="Y88" s="34">
        <f>VLOOKUP($A88,'[1]Init $$'!$B$3:$CG$118,25,FALSE)</f>
        <v>0</v>
      </c>
      <c r="Z88" s="34">
        <f>VLOOKUP($A88,'[1]Init $$'!$B$3:$CG$118,26,FALSE)</f>
        <v>0</v>
      </c>
      <c r="AA88" s="34">
        <f>VLOOKUP($A88,'[1]Init $$'!$B$3:$CG$118,27,FALSE)</f>
        <v>0</v>
      </c>
      <c r="AB88" s="43">
        <f>'Est gen ed 23 $$'!AB88/'Est gen ed 23 pos'!AB$123</f>
        <v>0</v>
      </c>
      <c r="AC88" s="43">
        <f>'Est gen ed 23 $$'!AC88/'Est gen ed 23 pos'!AC$123</f>
        <v>0</v>
      </c>
      <c r="AD88" s="43">
        <f>'Est gen ed 23 $$'!AD88/'Est gen ed 23 pos'!AD$123</f>
        <v>0</v>
      </c>
      <c r="AE88" s="43">
        <f>'Est gen ed 23 $$'!AE88/'Est gen ed 23 pos'!AE$123</f>
        <v>0</v>
      </c>
      <c r="AF88" s="34">
        <f>VLOOKUP($A88,'[1]Init $$'!$B$3:$CG$118,32,FALSE)</f>
        <v>1815792</v>
      </c>
      <c r="AG88" s="34">
        <f>VLOOKUP($A88,'[1]Init $$'!$B$3:$CG$118,33,FALSE)</f>
        <v>128050</v>
      </c>
      <c r="AH88" s="43">
        <f>'Est gen ed 23 $$'!AH88/'Est gen ed 23 pos'!AH$123</f>
        <v>1</v>
      </c>
      <c r="AI88" s="43">
        <f>'Est gen ed 23 $$'!AI88/'Est gen ed 23 pos'!AI$123</f>
        <v>1.9999999121515879</v>
      </c>
      <c r="AJ88" s="43">
        <f>'Est gen ed 23 $$'!AJ88/'Est gen ed 23 pos'!AJ$123</f>
        <v>3.9999998243031758</v>
      </c>
      <c r="AK88" s="43">
        <f>'Est gen ed 23 $$'!AK88/'Est gen ed 23 pos'!AK$123</f>
        <v>2.9999999121515879</v>
      </c>
      <c r="AL88" s="43">
        <f>'Est gen ed 23 $$'!AL88/'Est gen ed 23 pos'!AL$123</f>
        <v>5.9999994893586166</v>
      </c>
      <c r="AM88" s="43">
        <f>'Est gen ed 23 $$'!AM88/'Est gen ed 23 pos'!AM$123</f>
        <v>0</v>
      </c>
      <c r="AN88" s="43">
        <f>'Est gen ed 23 $$'!AN88/'Est gen ed 23 pos'!AN$123</f>
        <v>0</v>
      </c>
      <c r="AO88" s="43">
        <f>'Est gen ed 23 $$'!AO88/'Est gen ed 23 pos'!AO$123</f>
        <v>0</v>
      </c>
      <c r="AP88" s="34">
        <f>VLOOKUP($A88,'[1]Init $$'!$B$3:$CG$118,42,FALSE)</f>
        <v>139768.20000000001</v>
      </c>
      <c r="AQ88" s="34">
        <f>VLOOKUP($A88,'[1]Init $$'!$B$3:$CG$118,43,FALSE)</f>
        <v>0</v>
      </c>
      <c r="AR88" s="43">
        <f>'Est gen ed 23 $$'!AR88/'Est gen ed 23 pos'!AR$123</f>
        <v>9.9999996486063516</v>
      </c>
      <c r="AS88" s="43">
        <f>'Est gen ed 23 $$'!AS88/'Est gen ed 23 pos'!AS$123</f>
        <v>0</v>
      </c>
      <c r="AT88" s="43">
        <f>'Est gen ed 23 $$'!AT88/'Est gen ed 23 pos'!AT$123</f>
        <v>1</v>
      </c>
      <c r="AU88" s="34">
        <f>VLOOKUP($A88,'[1]Init $$'!$B$3:$CG$118,47,FALSE)</f>
        <v>376299</v>
      </c>
      <c r="AV88" s="34">
        <f>VLOOKUP($A88,'[1]Init $$'!$B$3:$CG$118,48,FALSE)</f>
        <v>20400</v>
      </c>
      <c r="AW88" s="34">
        <f>VLOOKUP($A88,'[1]Init $$'!$B$3:$CG$118,49,FALSE)</f>
        <v>13600</v>
      </c>
      <c r="AX88" s="34">
        <f>VLOOKUP($A88,'[1]Init $$'!$B$3:$CG$118,50,FALSE)</f>
        <v>0</v>
      </c>
      <c r="AY88" s="34">
        <f>VLOOKUP($A88,'[1]Init $$'!$B$3:$CG$118,51,FALSE)</f>
        <v>0</v>
      </c>
      <c r="AZ88" s="34">
        <f>VLOOKUP($A88,'[1]Init $$'!$B$3:$CG$118,52,FALSE)</f>
        <v>34000</v>
      </c>
      <c r="BA88" s="34">
        <f>VLOOKUP($A88,'[1]Init $$'!$B$3:$CG$118,53,FALSE)</f>
        <v>10200</v>
      </c>
      <c r="BB88" s="34">
        <f>VLOOKUP($A88,'[1]Init $$'!$B$3:$CG$118,54,FALSE)</f>
        <v>27200</v>
      </c>
      <c r="BC88" s="34">
        <f>VLOOKUP($A88,'[1]Init $$'!$B$3:$CG$118,55,FALSE)</f>
        <v>159323.74</v>
      </c>
      <c r="BD88" s="34">
        <f>VLOOKUP($A88,'[1]Init $$'!$B$3:$CG$118,56,FALSE)</f>
        <v>2566.31</v>
      </c>
      <c r="BE88" s="34">
        <f>VLOOKUP($A88,'[1]Init $$'!$B$3:$CG$118,57,FALSE)</f>
        <v>0</v>
      </c>
      <c r="BF88" s="43">
        <f>'Est gen ed 23 $$'!BF88/'Est gen ed 23 pos'!BF$123</f>
        <v>0</v>
      </c>
      <c r="BG88" s="43">
        <f>'Est gen ed 23 $$'!BG88/'Est gen ed 23 pos'!BG$123</f>
        <v>0</v>
      </c>
      <c r="BH88" s="34">
        <f>VLOOKUP($A88,'[1]Init $$'!$B$3:$CG$118,60,FALSE)</f>
        <v>0</v>
      </c>
      <c r="BI88" s="34">
        <f>VLOOKUP($A88,'[1]Init $$'!$B$3:$CG$118,61,FALSE)</f>
        <v>0</v>
      </c>
      <c r="BJ88" s="34">
        <f>VLOOKUP($A88,'[1]Init $$'!$B$3:$CG$118,62,FALSE)</f>
        <v>0</v>
      </c>
      <c r="BK88" s="43">
        <f>'Est gen ed 23 $$'!BK88/'Est gen ed 23 pos'!BK$123</f>
        <v>0</v>
      </c>
      <c r="BL88" s="34">
        <f>VLOOKUP($A88,'[1]Init $$'!$B$3:$CG$118,64,FALSE)</f>
        <v>0</v>
      </c>
      <c r="BM88" s="43">
        <f>'Est gen ed 23 $$'!BM88/'Est gen ed 23 pos'!BM$123</f>
        <v>0</v>
      </c>
      <c r="BN88" s="34">
        <f>VLOOKUP($A88,'[1]Init $$'!$B$3:$CG$118,66,FALSE)</f>
        <v>0</v>
      </c>
      <c r="BO88" s="43">
        <f>'Est gen ed 23 $$'!BO88/'Est gen ed 23 pos'!BO$123</f>
        <v>0</v>
      </c>
      <c r="BP88" s="34">
        <f>VLOOKUP($A88,'[1]Init $$'!$B$3:$CG$118,68,FALSE)</f>
        <v>0</v>
      </c>
      <c r="BQ88" s="43">
        <f>'Est gen ed 23 $$'!BQ88/'Est gen ed 23 pos'!BQ$123</f>
        <v>0</v>
      </c>
      <c r="BR88" s="43">
        <f>'Est gen ed 23 $$'!BR88/'Est gen ed 23 pos'!BR$123</f>
        <v>0</v>
      </c>
      <c r="BS88" s="34">
        <f>VLOOKUP($A88,'[1]Init $$'!$B$3:$CG$118,71,FALSE)</f>
        <v>0</v>
      </c>
      <c r="BT88" s="34">
        <f>VLOOKUP($A88,'[1]Init $$'!$B$3:$CG$118,72,FALSE)</f>
        <v>0</v>
      </c>
      <c r="BU88" s="34">
        <f>VLOOKUP($A88,'[1]Init $$'!$B$3:$CG$118,73,FALSE)</f>
        <v>15325</v>
      </c>
      <c r="BV88" s="34">
        <f>VLOOKUP($A88,'[1]Init $$'!$B$3:$CG$118,74,FALSE)</f>
        <v>0</v>
      </c>
      <c r="BW88" s="34">
        <f>VLOOKUP($A88,'[1]Init $$'!$B$3:$CG$118,75,FALSE)</f>
        <v>0</v>
      </c>
      <c r="BX88" s="43">
        <f>'Est gen ed 23 $$'!BX88/'Est gen ed 23 pos'!BX$123</f>
        <v>0</v>
      </c>
      <c r="BY88" s="43">
        <f>'Est gen ed 23 $$'!BY88/'Est gen ed 23 pos'!BY$123</f>
        <v>0</v>
      </c>
      <c r="BZ88" s="43">
        <f>'Est gen ed 23 $$'!BZ88/'Est gen ed 23 pos'!BZ$123</f>
        <v>0</v>
      </c>
      <c r="CA88" s="34">
        <f>VLOOKUP($A88,'[1]Init $$'!$B$3:$CG$118,79,FALSE)</f>
        <v>560643.34</v>
      </c>
      <c r="CB88" s="34">
        <f>VLOOKUP($A88,'[1]Init $$'!$B$3:$CG$118,80,FALSE)</f>
        <v>61402.44</v>
      </c>
      <c r="CC88" s="34">
        <f>VLOOKUP($A88,'[1]Init $$'!$B$3:$CG$118,81,FALSE)</f>
        <v>421074.37</v>
      </c>
      <c r="CD88" s="34">
        <f>VLOOKUP($A88,'[1]Init $$'!$B$3:$CG$118,82,FALSE)</f>
        <v>74789.73</v>
      </c>
      <c r="CE88" s="34">
        <f>VLOOKUP($A88,'[1]Init $$'!$B$3:$CG$118,83,FALSE)</f>
        <v>0</v>
      </c>
      <c r="CF88" s="34">
        <f>VLOOKUP($A88,'[1]Init $$'!$B$3:$CG$118,84,FALSE)</f>
        <v>373179.98</v>
      </c>
      <c r="CJ88" s="28">
        <f t="shared" si="6"/>
        <v>4401322.4599982947</v>
      </c>
      <c r="CK88" s="43">
        <f>'Est gen ed 23 $$'!CK88/'Est gen ed 23 pos'!CK$123</f>
        <v>0.99999604682144683</v>
      </c>
      <c r="CL88" s="43">
        <f>'Est gen ed 23 $$'!CL88/'Est gen ed 23 pos'!CL$123</f>
        <v>0.98499999999999999</v>
      </c>
      <c r="CM88" s="43">
        <f>'Est gen ed 23 $$'!CM88/'Est gen ed 23 pos'!CM$123</f>
        <v>1</v>
      </c>
      <c r="CN88" s="43">
        <f>'Est gen ed 23 $$'!CN88/'Est gen ed 23 pos'!CN$123</f>
        <v>0</v>
      </c>
      <c r="CO88" s="43">
        <f>'Est gen ed 23 $$'!CO88/'Est gen ed 23 pos'!CO$123</f>
        <v>0</v>
      </c>
      <c r="CP88" s="43">
        <f>'Est gen ed 23 $$'!CP88/'Est gen ed 23 pos'!CP$123</f>
        <v>0</v>
      </c>
      <c r="CQ88" s="43">
        <f>'Est gen ed 23 $$'!CQ88/'Est gen ed 23 pos'!CQ$123</f>
        <v>0.99999604682144683</v>
      </c>
      <c r="CR88" s="43">
        <f>'Est gen ed 23 $$'!CR88/'Est gen ed 23 pos'!CR$123</f>
        <v>0.99999604682144683</v>
      </c>
      <c r="CS88" s="43">
        <f>'Est gen ed 23 $$'!CS88/'Est gen ed 23 pos'!CS$123</f>
        <v>1.9999920936428937</v>
      </c>
      <c r="CT88" s="43">
        <f>'Est gen ed 23 $$'!CT88/'Est gen ed 23 pos'!CT$123</f>
        <v>3</v>
      </c>
      <c r="CU88" s="43">
        <f>'Est gen ed 23 $$'!CU88/'Est gen ed 23 pos'!CU$123</f>
        <v>16</v>
      </c>
      <c r="CZ88" s="43">
        <f>'Est gen ed 23 $$'!CW88/'Est gen ed 23 pos'!CZ$123</f>
        <v>0</v>
      </c>
      <c r="DB88" s="28">
        <f t="shared" si="7"/>
        <v>1815792</v>
      </c>
      <c r="DC88" s="28">
        <f t="shared" si="4"/>
        <v>869044.08</v>
      </c>
      <c r="DK88" s="34"/>
      <c r="DL88" s="34"/>
    </row>
    <row r="89" spans="1:116" x14ac:dyDescent="0.2">
      <c r="A89">
        <v>304</v>
      </c>
      <c r="B89" t="s">
        <v>40</v>
      </c>
      <c r="C89" t="s">
        <v>39</v>
      </c>
      <c r="D89">
        <v>7</v>
      </c>
      <c r="E89">
        <f>VLOOKUP($A89,'[1]Init $$'!$B$3:$CG$118,4,FALSE)</f>
        <v>106</v>
      </c>
      <c r="F89">
        <f>VLOOKUP($A89,'[1]Init $$'!$B$3:$CG$118,6,FALSE)</f>
        <v>106</v>
      </c>
      <c r="G89">
        <f>VLOOKUP($A89,'[2]$$xSchpostCouncilxLevel'!$A$4:$EW$120,153,FALSE)</f>
        <v>132</v>
      </c>
      <c r="H89" s="50">
        <f t="shared" si="5"/>
        <v>-26</v>
      </c>
      <c r="I89" s="4">
        <f>VLOOKUP($A89,'[1]Init $$'!$B$3:$CG$118,8,FALSE)</f>
        <v>0.5</v>
      </c>
      <c r="J89">
        <f>VLOOKUP($A89,'[1]Init $$'!$B$3:$CG$118,7,FALSE)</f>
        <v>53</v>
      </c>
      <c r="K89" s="43">
        <f>'Est gen ed 23 $$'!K89/'Est gen ed 23 pos'!K$123</f>
        <v>1</v>
      </c>
      <c r="L89" s="43">
        <f>'Est gen ed 23 $$'!L89/'Est gen ed 23 pos'!L$123</f>
        <v>0</v>
      </c>
      <c r="M89" s="43">
        <f>'Est gen ed 23 $$'!M89/'Est gen ed 23 pos'!M$123</f>
        <v>0</v>
      </c>
      <c r="N89" s="43">
        <f>'Est gen ed 23 $$'!N89/'Est gen ed 23 pos'!N$123</f>
        <v>1</v>
      </c>
      <c r="O89" s="34">
        <f>VLOOKUP($A89,'[1]Init $$'!$B$3:$CG$118,15,FALSE)</f>
        <v>5596</v>
      </c>
      <c r="P89" s="43">
        <f>'Est gen ed 23 $$'!P89/'Est gen ed 23 pos'!P$123</f>
        <v>1</v>
      </c>
      <c r="Q89" s="43">
        <f>'Est gen ed 23 $$'!Q89/'Est gen ed 23 pos'!Q$123</f>
        <v>1</v>
      </c>
      <c r="R89" s="43">
        <f>'Est gen ed 23 $$'!R89/'Est gen ed 23 pos'!R$123</f>
        <v>1</v>
      </c>
      <c r="S89" s="43">
        <f>'Est gen ed 23 $$'!S89/'Est gen ed 23 pos'!S$123</f>
        <v>1</v>
      </c>
      <c r="T89" s="43">
        <f>'Est gen ed 23 $$'!T89/'Est gen ed 23 pos'!T$123</f>
        <v>0</v>
      </c>
      <c r="U89" s="43">
        <f>'Est gen ed 23 $$'!U89/'Est gen ed 23 pos'!U$123</f>
        <v>0</v>
      </c>
      <c r="V89" s="43">
        <f>'Est gen ed 23 $$'!V89/'Est gen ed 23 pos'!V$123</f>
        <v>0</v>
      </c>
      <c r="W89" s="43">
        <f>'Est gen ed 23 $$'!W89/'Est gen ed 23 pos'!W$123</f>
        <v>0</v>
      </c>
      <c r="X89" s="34">
        <f>VLOOKUP($A89,'[1]Init $$'!$B$3:$CG$118,24,FALSE)</f>
        <v>0</v>
      </c>
      <c r="Y89" s="34">
        <f>VLOOKUP($A89,'[1]Init $$'!$B$3:$CG$118,25,FALSE)</f>
        <v>0</v>
      </c>
      <c r="Z89" s="34">
        <f>VLOOKUP($A89,'[1]Init $$'!$B$3:$CG$118,26,FALSE)</f>
        <v>0</v>
      </c>
      <c r="AA89" s="34">
        <f>VLOOKUP($A89,'[1]Init $$'!$B$3:$CG$118,27,FALSE)</f>
        <v>0</v>
      </c>
      <c r="AB89" s="43">
        <f>'Est gen ed 23 $$'!AB89/'Est gen ed 23 pos'!AB$123</f>
        <v>1</v>
      </c>
      <c r="AC89" s="43">
        <f>'Est gen ed 23 $$'!AC89/'Est gen ed 23 pos'!AC$123</f>
        <v>0</v>
      </c>
      <c r="AD89" s="43">
        <f>'Est gen ed 23 $$'!AD89/'Est gen ed 23 pos'!AD$123</f>
        <v>0</v>
      </c>
      <c r="AE89" s="43">
        <f>'Est gen ed 23 $$'!AE89/'Est gen ed 23 pos'!AE$123</f>
        <v>0</v>
      </c>
      <c r="AF89" s="34">
        <f>VLOOKUP($A89,'[1]Init $$'!$B$3:$CG$118,32,FALSE)</f>
        <v>633138</v>
      </c>
      <c r="AG89" s="34">
        <f>VLOOKUP($A89,'[1]Init $$'!$B$3:$CG$118,33,FALSE)</f>
        <v>228112</v>
      </c>
      <c r="AH89" s="43">
        <f>'Est gen ed 23 $$'!AH89/'Est gen ed 23 pos'!AH$123</f>
        <v>1</v>
      </c>
      <c r="AI89" s="43">
        <f>'Est gen ed 23 $$'!AI89/'Est gen ed 23 pos'!AI$123</f>
        <v>1</v>
      </c>
      <c r="AJ89" s="43">
        <f>'Est gen ed 23 $$'!AJ89/'Est gen ed 23 pos'!AJ$123</f>
        <v>0</v>
      </c>
      <c r="AK89" s="43">
        <f>'Est gen ed 23 $$'!AK89/'Est gen ed 23 pos'!AK$123</f>
        <v>20.999999297212703</v>
      </c>
      <c r="AL89" s="43">
        <f>'Est gen ed 23 $$'!AL89/'Est gen ed 23 pos'!AL$123</f>
        <v>0</v>
      </c>
      <c r="AM89" s="43">
        <f>'Est gen ed 23 $$'!AM89/'Est gen ed 23 pos'!AM$123</f>
        <v>23</v>
      </c>
      <c r="AN89" s="43">
        <f>'Est gen ed 23 $$'!AN89/'Est gen ed 23 pos'!AN$123</f>
        <v>0</v>
      </c>
      <c r="AO89" s="43">
        <f>'Est gen ed 23 $$'!AO89/'Est gen ed 23 pos'!AO$123</f>
        <v>0</v>
      </c>
      <c r="AP89" s="34">
        <f>VLOOKUP($A89,'[1]Init $$'!$B$3:$CG$118,42,FALSE)</f>
        <v>189941.4</v>
      </c>
      <c r="AQ89" s="34">
        <f>VLOOKUP($A89,'[1]Init $$'!$B$3:$CG$118,43,FALSE)</f>
        <v>284912.09999999998</v>
      </c>
      <c r="AR89" s="43">
        <f>'Est gen ed 23 $$'!AR89/'Est gen ed 23 pos'!AR$123</f>
        <v>1</v>
      </c>
      <c r="AS89" s="43">
        <f>'Est gen ed 23 $$'!AS89/'Est gen ed 23 pos'!AS$123</f>
        <v>0</v>
      </c>
      <c r="AT89" s="43">
        <f>'Est gen ed 23 $$'!AT89/'Est gen ed 23 pos'!AT$123</f>
        <v>0</v>
      </c>
      <c r="AU89" s="34">
        <f>VLOOKUP($A89,'[1]Init $$'!$B$3:$CG$118,47,FALSE)</f>
        <v>23294.7</v>
      </c>
      <c r="AV89" s="34">
        <f>VLOOKUP($A89,'[1]Init $$'!$B$3:$CG$118,48,FALSE)</f>
        <v>27200</v>
      </c>
      <c r="AW89" s="34">
        <f>VLOOKUP($A89,'[1]Init $$'!$B$3:$CG$118,49,FALSE)</f>
        <v>20400</v>
      </c>
      <c r="AX89" s="34">
        <f>VLOOKUP($A89,'[1]Init $$'!$B$3:$CG$118,50,FALSE)</f>
        <v>0</v>
      </c>
      <c r="AY89" s="34">
        <f>VLOOKUP($A89,'[1]Init $$'!$B$3:$CG$118,51,FALSE)</f>
        <v>0</v>
      </c>
      <c r="AZ89" s="34">
        <f>VLOOKUP($A89,'[1]Init $$'!$B$3:$CG$118,52,FALSE)</f>
        <v>54400</v>
      </c>
      <c r="BA89" s="34">
        <f>VLOOKUP($A89,'[1]Init $$'!$B$3:$CG$118,53,FALSE)</f>
        <v>10200</v>
      </c>
      <c r="BB89" s="34">
        <f>VLOOKUP($A89,'[1]Init $$'!$B$3:$CG$118,54,FALSE)</f>
        <v>27200</v>
      </c>
      <c r="BC89" s="34">
        <f>VLOOKUP($A89,'[1]Init $$'!$B$3:$CG$118,55,FALSE)</f>
        <v>51953.39</v>
      </c>
      <c r="BD89" s="34">
        <f>VLOOKUP($A89,'[1]Init $$'!$B$3:$CG$118,56,FALSE)</f>
        <v>836.84</v>
      </c>
      <c r="BE89" s="34">
        <f>VLOOKUP($A89,'[1]Init $$'!$B$3:$CG$118,57,FALSE)</f>
        <v>0</v>
      </c>
      <c r="BF89" s="43">
        <f>'Est gen ed 23 $$'!BF89/'Est gen ed 23 pos'!BF$123</f>
        <v>0</v>
      </c>
      <c r="BG89" s="43">
        <f>'Est gen ed 23 $$'!BG89/'Est gen ed 23 pos'!BG$123</f>
        <v>0</v>
      </c>
      <c r="BH89" s="34">
        <f>VLOOKUP($A89,'[1]Init $$'!$B$3:$CG$118,60,FALSE)</f>
        <v>0</v>
      </c>
      <c r="BI89" s="34">
        <f>VLOOKUP($A89,'[1]Init $$'!$B$3:$CG$118,61,FALSE)</f>
        <v>0</v>
      </c>
      <c r="BJ89" s="34">
        <f>VLOOKUP($A89,'[1]Init $$'!$B$3:$CG$118,62,FALSE)</f>
        <v>0</v>
      </c>
      <c r="BK89" s="43">
        <f>'Est gen ed 23 $$'!BK89/'Est gen ed 23 pos'!BK$123</f>
        <v>0</v>
      </c>
      <c r="BL89" s="34">
        <f>VLOOKUP($A89,'[1]Init $$'!$B$3:$CG$118,64,FALSE)</f>
        <v>0</v>
      </c>
      <c r="BM89" s="43">
        <f>'Est gen ed 23 $$'!BM89/'Est gen ed 23 pos'!BM$123</f>
        <v>0</v>
      </c>
      <c r="BN89" s="34">
        <f>VLOOKUP($A89,'[1]Init $$'!$B$3:$CG$118,66,FALSE)</f>
        <v>0</v>
      </c>
      <c r="BO89" s="43">
        <f>'Est gen ed 23 $$'!BO89/'Est gen ed 23 pos'!BO$123</f>
        <v>0</v>
      </c>
      <c r="BP89" s="34">
        <f>VLOOKUP($A89,'[1]Init $$'!$B$3:$CG$118,68,FALSE)</f>
        <v>0</v>
      </c>
      <c r="BQ89" s="43">
        <f>'Est gen ed 23 $$'!BQ89/'Est gen ed 23 pos'!BQ$123</f>
        <v>0</v>
      </c>
      <c r="BR89" s="43">
        <f>'Est gen ed 23 $$'!BR89/'Est gen ed 23 pos'!BR$123</f>
        <v>0</v>
      </c>
      <c r="BS89" s="34">
        <f>VLOOKUP($A89,'[1]Init $$'!$B$3:$CG$118,71,FALSE)</f>
        <v>0</v>
      </c>
      <c r="BT89" s="34">
        <f>VLOOKUP($A89,'[1]Init $$'!$B$3:$CG$118,72,FALSE)</f>
        <v>0</v>
      </c>
      <c r="BU89" s="34">
        <f>VLOOKUP($A89,'[1]Init $$'!$B$3:$CG$118,73,FALSE)</f>
        <v>0</v>
      </c>
      <c r="BV89" s="34">
        <f>VLOOKUP($A89,'[1]Init $$'!$B$3:$CG$118,74,FALSE)</f>
        <v>0</v>
      </c>
      <c r="BW89" s="34">
        <f>VLOOKUP($A89,'[1]Init $$'!$B$3:$CG$118,75,FALSE)</f>
        <v>0</v>
      </c>
      <c r="BX89" s="43">
        <f>'Est gen ed 23 $$'!BX89/'Est gen ed 23 pos'!BX$123</f>
        <v>1.0000041250219776</v>
      </c>
      <c r="BY89" s="43">
        <f>'Est gen ed 23 $$'!BY89/'Est gen ed 23 pos'!BY$123</f>
        <v>0</v>
      </c>
      <c r="BZ89" s="43">
        <f>'Est gen ed 23 $$'!BZ89/'Est gen ed 23 pos'!BZ$123</f>
        <v>0</v>
      </c>
      <c r="CA89" s="34">
        <f>VLOOKUP($A89,'[1]Init $$'!$B$3:$CG$118,79,FALSE)</f>
        <v>142172.71</v>
      </c>
      <c r="CB89" s="34">
        <f>VLOOKUP($A89,'[1]Init $$'!$B$3:$CG$118,80,FALSE)</f>
        <v>12662.76</v>
      </c>
      <c r="CC89" s="34">
        <f>VLOOKUP($A89,'[1]Init $$'!$B$3:$CG$118,81,FALSE)</f>
        <v>0</v>
      </c>
      <c r="CD89" s="34">
        <f>VLOOKUP($A89,'[1]Init $$'!$B$3:$CG$118,82,FALSE)</f>
        <v>0</v>
      </c>
      <c r="CE89" s="34">
        <f>VLOOKUP($A89,'[1]Init $$'!$B$3:$CG$118,83,FALSE)</f>
        <v>0</v>
      </c>
      <c r="CF89" s="34">
        <f>VLOOKUP($A89,'[1]Init $$'!$B$3:$CG$118,84,FALSE)</f>
        <v>0</v>
      </c>
      <c r="CJ89" s="28">
        <f t="shared" si="6"/>
        <v>1712074.9000034223</v>
      </c>
      <c r="CK89" s="43">
        <f>'Est gen ed 23 $$'!CK89/'Est gen ed 23 pos'!CK$123</f>
        <v>0.99999604682144683</v>
      </c>
      <c r="CL89" s="43">
        <f>'Est gen ed 23 $$'!CL89/'Est gen ed 23 pos'!CL$123</f>
        <v>0</v>
      </c>
      <c r="CM89" s="43">
        <f>'Est gen ed 23 $$'!CM89/'Est gen ed 23 pos'!CM$123</f>
        <v>0.5</v>
      </c>
      <c r="CN89" s="43">
        <f>'Est gen ed 23 $$'!CN89/'Est gen ed 23 pos'!CN$123</f>
        <v>0</v>
      </c>
      <c r="CO89" s="43">
        <f>'Est gen ed 23 $$'!CO89/'Est gen ed 23 pos'!CO$123</f>
        <v>0</v>
      </c>
      <c r="CP89" s="43">
        <f>'Est gen ed 23 $$'!CP89/'Est gen ed 23 pos'!CP$123</f>
        <v>0</v>
      </c>
      <c r="CQ89" s="43">
        <f>'Est gen ed 23 $$'!CQ89/'Est gen ed 23 pos'!CQ$123</f>
        <v>0</v>
      </c>
      <c r="CR89" s="43">
        <f>'Est gen ed 23 $$'!CR89/'Est gen ed 23 pos'!CR$123</f>
        <v>0</v>
      </c>
      <c r="CS89" s="43">
        <f>'Est gen ed 23 $$'!CS89/'Est gen ed 23 pos'!CS$123</f>
        <v>0</v>
      </c>
      <c r="CT89" s="43">
        <f>'Est gen ed 23 $$'!CT89/'Est gen ed 23 pos'!CT$123</f>
        <v>0</v>
      </c>
      <c r="CU89" s="43" t="e">
        <f>'Est gen ed 23 $$'!CU89/'Est gen ed 23 pos'!CU$123</f>
        <v>#VALUE!</v>
      </c>
      <c r="CZ89" s="43">
        <f>'Est gen ed 23 $$'!CW89/'Est gen ed 23 pos'!CZ$123</f>
        <v>0</v>
      </c>
      <c r="DB89" s="28">
        <f t="shared" si="7"/>
        <v>633138</v>
      </c>
      <c r="DC89" s="28">
        <f t="shared" si="4"/>
        <v>0</v>
      </c>
      <c r="DK89" s="34"/>
      <c r="DL89" s="34"/>
    </row>
    <row r="90" spans="1:116" x14ac:dyDescent="0.2">
      <c r="A90">
        <v>436</v>
      </c>
      <c r="B90" t="s">
        <v>38</v>
      </c>
      <c r="C90" t="s">
        <v>1</v>
      </c>
      <c r="D90">
        <v>7</v>
      </c>
      <c r="E90">
        <f>VLOOKUP($A90,'[1]Init $$'!$B$3:$CG$118,4,FALSE)</f>
        <v>200</v>
      </c>
      <c r="F90">
        <f>VLOOKUP($A90,'[1]Init $$'!$B$3:$CG$118,6,FALSE)</f>
        <v>200</v>
      </c>
      <c r="G90">
        <f>VLOOKUP($A90,'[2]$$xSchpostCouncilxLevel'!$A$4:$EW$120,153,FALSE)</f>
        <v>216</v>
      </c>
      <c r="H90" s="50">
        <f t="shared" si="5"/>
        <v>-16</v>
      </c>
      <c r="I90" s="4">
        <f>VLOOKUP($A90,'[1]Init $$'!$B$3:$CG$118,8,FALSE)</f>
        <v>0.8</v>
      </c>
      <c r="J90">
        <f>VLOOKUP($A90,'[1]Init $$'!$B$3:$CG$118,7,FALSE)</f>
        <v>160</v>
      </c>
      <c r="K90" s="43">
        <f>'Est gen ed 23 $$'!K90/'Est gen ed 23 pos'!K$123</f>
        <v>1</v>
      </c>
      <c r="L90" s="43">
        <f>'Est gen ed 23 $$'!L90/'Est gen ed 23 pos'!L$123</f>
        <v>0</v>
      </c>
      <c r="M90" s="43">
        <f>'Est gen ed 23 $$'!M90/'Est gen ed 23 pos'!M$123</f>
        <v>0.99999945493478681</v>
      </c>
      <c r="N90" s="43">
        <f>'Est gen ed 23 $$'!N90/'Est gen ed 23 pos'!N$123</f>
        <v>1</v>
      </c>
      <c r="O90" s="34">
        <f>VLOOKUP($A90,'[1]Init $$'!$B$3:$CG$118,15,FALSE)</f>
        <v>16547.77</v>
      </c>
      <c r="P90" s="43">
        <f>'Est gen ed 23 $$'!P90/'Est gen ed 23 pos'!P$123</f>
        <v>1</v>
      </c>
      <c r="Q90" s="43">
        <f>'Est gen ed 23 $$'!Q90/'Est gen ed 23 pos'!Q$123</f>
        <v>1</v>
      </c>
      <c r="R90" s="43">
        <f>'Est gen ed 23 $$'!R90/'Est gen ed 23 pos'!R$123</f>
        <v>5.0000003907222226</v>
      </c>
      <c r="S90" s="43">
        <f>'Est gen ed 23 $$'!S90/'Est gen ed 23 pos'!S$123</f>
        <v>1</v>
      </c>
      <c r="T90" s="43">
        <f>'Est gen ed 23 $$'!T90/'Est gen ed 23 pos'!T$123</f>
        <v>0</v>
      </c>
      <c r="U90" s="43">
        <f>'Est gen ed 23 $$'!U90/'Est gen ed 23 pos'!U$123</f>
        <v>0</v>
      </c>
      <c r="V90" s="43">
        <f>'Est gen ed 23 $$'!V90/'Est gen ed 23 pos'!V$123</f>
        <v>0</v>
      </c>
      <c r="W90" s="43">
        <f>'Est gen ed 23 $$'!W90/'Est gen ed 23 pos'!W$123</f>
        <v>0</v>
      </c>
      <c r="X90" s="34">
        <f>VLOOKUP($A90,'[1]Init $$'!$B$3:$CG$118,24,FALSE)</f>
        <v>0</v>
      </c>
      <c r="Y90" s="34">
        <f>VLOOKUP($A90,'[1]Init $$'!$B$3:$CG$118,25,FALSE)</f>
        <v>0</v>
      </c>
      <c r="Z90" s="34">
        <f>VLOOKUP($A90,'[1]Init $$'!$B$3:$CG$118,26,FALSE)</f>
        <v>0</v>
      </c>
      <c r="AA90" s="34">
        <f>VLOOKUP($A90,'[1]Init $$'!$B$3:$CG$118,27,FALSE)</f>
        <v>0</v>
      </c>
      <c r="AB90" s="43">
        <f>'Est gen ed 23 $$'!AB90/'Est gen ed 23 pos'!AB$123</f>
        <v>1</v>
      </c>
      <c r="AC90" s="43">
        <f>'Est gen ed 23 $$'!AC90/'Est gen ed 23 pos'!AC$123</f>
        <v>0</v>
      </c>
      <c r="AD90" s="43">
        <f>'Est gen ed 23 $$'!AD90/'Est gen ed 23 pos'!AD$123</f>
        <v>0</v>
      </c>
      <c r="AE90" s="43">
        <f>'Est gen ed 23 $$'!AE90/'Est gen ed 23 pos'!AE$123</f>
        <v>1.9999999121515879</v>
      </c>
      <c r="AF90" s="34">
        <f>VLOOKUP($A90,'[1]Init $$'!$B$3:$CG$118,32,FALSE)</f>
        <v>1194600</v>
      </c>
      <c r="AG90" s="34">
        <f>VLOOKUP($A90,'[1]Init $$'!$B$3:$CG$118,33,FALSE)</f>
        <v>118600</v>
      </c>
      <c r="AH90" s="43">
        <f>'Est gen ed 23 $$'!AH90/'Est gen ed 23 pos'!AH$123</f>
        <v>1.4999999560757939</v>
      </c>
      <c r="AI90" s="43">
        <f>'Est gen ed 23 $$'!AI90/'Est gen ed 23 pos'!AI$123</f>
        <v>2.4999999560757939</v>
      </c>
      <c r="AJ90" s="43">
        <f>'Est gen ed 23 $$'!AJ90/'Est gen ed 23 pos'!AJ$123</f>
        <v>5.9999998243031758</v>
      </c>
      <c r="AK90" s="43">
        <f>'Est gen ed 23 $$'!AK90/'Est gen ed 23 pos'!AK$123</f>
        <v>0</v>
      </c>
      <c r="AL90" s="43">
        <f>'Est gen ed 23 $$'!AL90/'Est gen ed 23 pos'!AL$123</f>
        <v>0</v>
      </c>
      <c r="AM90" s="43">
        <f>'Est gen ed 23 $$'!AM90/'Est gen ed 23 pos'!AM$123</f>
        <v>0</v>
      </c>
      <c r="AN90" s="43">
        <f>'Est gen ed 23 $$'!AN90/'Est gen ed 23 pos'!AN$123</f>
        <v>0</v>
      </c>
      <c r="AO90" s="43">
        <f>'Est gen ed 23 $$'!AO90/'Est gen ed 23 pos'!AO$123</f>
        <v>0</v>
      </c>
      <c r="AP90" s="34">
        <f>VLOOKUP($A90,'[1]Init $$'!$B$3:$CG$118,42,FALSE)</f>
        <v>87803.1</v>
      </c>
      <c r="AQ90" s="34">
        <f>VLOOKUP($A90,'[1]Init $$'!$B$3:$CG$118,43,FALSE)</f>
        <v>0</v>
      </c>
      <c r="AR90" s="43">
        <f>'Est gen ed 23 $$'!AR90/'Est gen ed 23 pos'!AR$123</f>
        <v>0</v>
      </c>
      <c r="AS90" s="43">
        <f>'Est gen ed 23 $$'!AS90/'Est gen ed 23 pos'!AS$123</f>
        <v>4.9999978037896929E-2</v>
      </c>
      <c r="AT90" s="43">
        <f>'Est gen ed 23 $$'!AT90/'Est gen ed 23 pos'!AT$123</f>
        <v>0</v>
      </c>
      <c r="AU90" s="34">
        <f>VLOOKUP($A90,'[1]Init $$'!$B$3:$CG$118,47,FALSE)</f>
        <v>1791.9</v>
      </c>
      <c r="AV90" s="34">
        <f>VLOOKUP($A90,'[1]Init $$'!$B$3:$CG$118,48,FALSE)</f>
        <v>0</v>
      </c>
      <c r="AW90" s="34">
        <f>VLOOKUP($A90,'[1]Init $$'!$B$3:$CG$118,49,FALSE)</f>
        <v>0</v>
      </c>
      <c r="AX90" s="34">
        <f>VLOOKUP($A90,'[1]Init $$'!$B$3:$CG$118,50,FALSE)</f>
        <v>0</v>
      </c>
      <c r="AY90" s="34">
        <f>VLOOKUP($A90,'[1]Init $$'!$B$3:$CG$118,51,FALSE)</f>
        <v>60000</v>
      </c>
      <c r="AZ90" s="34">
        <f>VLOOKUP($A90,'[1]Init $$'!$B$3:$CG$118,52,FALSE)</f>
        <v>0</v>
      </c>
      <c r="BA90" s="34">
        <f>VLOOKUP($A90,'[1]Init $$'!$B$3:$CG$118,53,FALSE)</f>
        <v>0</v>
      </c>
      <c r="BB90" s="34">
        <f>VLOOKUP($A90,'[1]Init $$'!$B$3:$CG$118,54,FALSE)</f>
        <v>0</v>
      </c>
      <c r="BC90" s="34">
        <f>VLOOKUP($A90,'[1]Init $$'!$B$3:$CG$118,55,FALSE)</f>
        <v>69271.19</v>
      </c>
      <c r="BD90" s="34">
        <f>VLOOKUP($A90,'[1]Init $$'!$B$3:$CG$118,56,FALSE)</f>
        <v>1115.79</v>
      </c>
      <c r="BE90" s="34">
        <f>VLOOKUP($A90,'[1]Init $$'!$B$3:$CG$118,57,FALSE)</f>
        <v>0</v>
      </c>
      <c r="BF90" s="43">
        <f>'Est gen ed 23 $$'!BF90/'Est gen ed 23 pos'!BF$123</f>
        <v>0</v>
      </c>
      <c r="BG90" s="43">
        <f>'Est gen ed 23 $$'!BG90/'Est gen ed 23 pos'!BG$123</f>
        <v>0.99999886478304745</v>
      </c>
      <c r="BH90" s="34">
        <f>VLOOKUP($A90,'[1]Init $$'!$B$3:$CG$118,60,FALSE)</f>
        <v>14666.09</v>
      </c>
      <c r="BI90" s="34">
        <f>VLOOKUP($A90,'[1]Init $$'!$B$3:$CG$118,61,FALSE)</f>
        <v>20550</v>
      </c>
      <c r="BJ90" s="34">
        <f>VLOOKUP($A90,'[1]Init $$'!$B$3:$CG$118,62,FALSE)</f>
        <v>8400</v>
      </c>
      <c r="BK90" s="43">
        <f>'Est gen ed 23 $$'!BK90/'Est gen ed 23 pos'!BK$123</f>
        <v>0</v>
      </c>
      <c r="BL90" s="34">
        <f>VLOOKUP($A90,'[1]Init $$'!$B$3:$CG$118,64,FALSE)</f>
        <v>0</v>
      </c>
      <c r="BM90" s="43">
        <f>'Est gen ed 23 $$'!BM90/'Est gen ed 23 pos'!BM$123</f>
        <v>0</v>
      </c>
      <c r="BN90" s="34">
        <f>VLOOKUP($A90,'[1]Init $$'!$B$3:$CG$118,66,FALSE)</f>
        <v>0</v>
      </c>
      <c r="BO90" s="43">
        <f>'Est gen ed 23 $$'!BO90/'Est gen ed 23 pos'!BO$123</f>
        <v>0</v>
      </c>
      <c r="BP90" s="34">
        <f>VLOOKUP($A90,'[1]Init $$'!$B$3:$CG$118,68,FALSE)</f>
        <v>0</v>
      </c>
      <c r="BQ90" s="43">
        <f>'Est gen ed 23 $$'!BQ90/'Est gen ed 23 pos'!BQ$123</f>
        <v>0</v>
      </c>
      <c r="BR90" s="43">
        <f>'Est gen ed 23 $$'!BR90/'Est gen ed 23 pos'!BR$123</f>
        <v>0</v>
      </c>
      <c r="BS90" s="34">
        <f>VLOOKUP($A90,'[1]Init $$'!$B$3:$CG$118,71,FALSE)</f>
        <v>0</v>
      </c>
      <c r="BT90" s="34">
        <f>VLOOKUP($A90,'[1]Init $$'!$B$3:$CG$118,72,FALSE)</f>
        <v>0</v>
      </c>
      <c r="BU90" s="34">
        <f>VLOOKUP($A90,'[1]Init $$'!$B$3:$CG$118,73,FALSE)</f>
        <v>0</v>
      </c>
      <c r="BV90" s="34">
        <f>VLOOKUP($A90,'[1]Init $$'!$B$3:$CG$118,74,FALSE)</f>
        <v>0</v>
      </c>
      <c r="BW90" s="34">
        <f>VLOOKUP($A90,'[1]Init $$'!$B$3:$CG$118,75,FALSE)</f>
        <v>0</v>
      </c>
      <c r="BX90" s="43">
        <f>'Est gen ed 23 $$'!BX90/'Est gen ed 23 pos'!BX$123</f>
        <v>0</v>
      </c>
      <c r="BY90" s="43">
        <f>'Est gen ed 23 $$'!BY90/'Est gen ed 23 pos'!BY$123</f>
        <v>0</v>
      </c>
      <c r="BZ90" s="43">
        <f>'Est gen ed 23 $$'!BZ90/'Est gen ed 23 pos'!BZ$123</f>
        <v>0</v>
      </c>
      <c r="CA90" s="34">
        <f>VLOOKUP($A90,'[1]Init $$'!$B$3:$CG$118,79,FALSE)</f>
        <v>469438.2</v>
      </c>
      <c r="CB90" s="34">
        <f>VLOOKUP($A90,'[1]Init $$'!$B$3:$CG$118,80,FALSE)</f>
        <v>119460</v>
      </c>
      <c r="CC90" s="34">
        <f>VLOOKUP($A90,'[1]Init $$'!$B$3:$CG$118,81,FALSE)</f>
        <v>318599.71999999997</v>
      </c>
      <c r="CD90" s="34">
        <f>VLOOKUP($A90,'[1]Init $$'!$B$3:$CG$118,82,FALSE)</f>
        <v>85615.88</v>
      </c>
      <c r="CE90" s="34">
        <f>VLOOKUP($A90,'[1]Init $$'!$B$3:$CG$118,83,FALSE)</f>
        <v>60690.65</v>
      </c>
      <c r="CF90" s="34">
        <f>VLOOKUP($A90,'[1]Init $$'!$B$3:$CG$118,84,FALSE)</f>
        <v>1258206.3400000001</v>
      </c>
      <c r="CJ90" s="28">
        <f t="shared" si="6"/>
        <v>3905381.6799983364</v>
      </c>
      <c r="CK90" s="43">
        <f>'Est gen ed 23 $$'!CK90/'Est gen ed 23 pos'!CK$123</f>
        <v>0.99999604682144683</v>
      </c>
      <c r="CL90" s="43">
        <f>'Est gen ed 23 $$'!CL90/'Est gen ed 23 pos'!CL$123</f>
        <v>0.66666666666666663</v>
      </c>
      <c r="CM90" s="43">
        <f>'Est gen ed 23 $$'!CM90/'Est gen ed 23 pos'!CM$123</f>
        <v>0.5</v>
      </c>
      <c r="CN90" s="43">
        <f>'Est gen ed 23 $$'!CN90/'Est gen ed 23 pos'!CN$123</f>
        <v>0</v>
      </c>
      <c r="CO90" s="43">
        <f>'Est gen ed 23 $$'!CO90/'Est gen ed 23 pos'!CO$123</f>
        <v>1</v>
      </c>
      <c r="CP90" s="43">
        <f>'Est gen ed 23 $$'!CP90/'Est gen ed 23 pos'!CP$123</f>
        <v>1</v>
      </c>
      <c r="CQ90" s="43">
        <f>'Est gen ed 23 $$'!CQ90/'Est gen ed 23 pos'!CQ$123</f>
        <v>0</v>
      </c>
      <c r="CR90" s="43">
        <f>'Est gen ed 23 $$'!CR90/'Est gen ed 23 pos'!CR$123</f>
        <v>0</v>
      </c>
      <c r="CS90" s="43">
        <f>'Est gen ed 23 $$'!CS90/'Est gen ed 23 pos'!CS$123</f>
        <v>0</v>
      </c>
      <c r="CT90" s="43">
        <f>'Est gen ed 23 $$'!CT90/'Est gen ed 23 pos'!CT$123</f>
        <v>0</v>
      </c>
      <c r="CU90" s="43">
        <f>'Est gen ed 23 $$'!CU90/'Est gen ed 23 pos'!CU$123</f>
        <v>17</v>
      </c>
      <c r="CZ90" s="43">
        <f>'Est gen ed 23 $$'!CW90/'Est gen ed 23 pos'!CZ$123</f>
        <v>0.9999965685612755</v>
      </c>
      <c r="DB90" s="28">
        <f t="shared" si="7"/>
        <v>1194600</v>
      </c>
      <c r="DC90" s="28">
        <f t="shared" si="4"/>
        <v>1723112.59</v>
      </c>
      <c r="DK90" s="34"/>
      <c r="DL90" s="34"/>
    </row>
    <row r="91" spans="1:116" x14ac:dyDescent="0.2">
      <c r="A91">
        <v>459</v>
      </c>
      <c r="B91" t="s">
        <v>37</v>
      </c>
      <c r="C91" t="s">
        <v>1</v>
      </c>
      <c r="D91">
        <v>4</v>
      </c>
      <c r="E91">
        <f>VLOOKUP($A91,'[1]Init $$'!$B$3:$CG$118,4,FALSE)</f>
        <v>868</v>
      </c>
      <c r="F91">
        <f>VLOOKUP($A91,'[1]Init $$'!$B$3:$CG$118,6,FALSE)</f>
        <v>868</v>
      </c>
      <c r="G91">
        <f>VLOOKUP($A91,'[2]$$xSchpostCouncilxLevel'!$A$4:$EW$120,153,FALSE)</f>
        <v>790</v>
      </c>
      <c r="H91" s="50">
        <f t="shared" si="5"/>
        <v>78</v>
      </c>
      <c r="I91" s="4">
        <f>VLOOKUP($A91,'[1]Init $$'!$B$3:$CG$118,8,FALSE)</f>
        <v>0.72119815668202769</v>
      </c>
      <c r="J91">
        <f>VLOOKUP($A91,'[1]Init $$'!$B$3:$CG$118,7,FALSE)</f>
        <v>626</v>
      </c>
      <c r="K91" s="43">
        <f>'Est gen ed 23 $$'!K91/'Est gen ed 23 pos'!K$123</f>
        <v>1</v>
      </c>
      <c r="L91" s="43">
        <f>'Est gen ed 23 $$'!L91/'Est gen ed 23 pos'!L$123</f>
        <v>0</v>
      </c>
      <c r="M91" s="43">
        <f>'Est gen ed 23 $$'!M91/'Est gen ed 23 pos'!M$123</f>
        <v>3.4999981312049835</v>
      </c>
      <c r="N91" s="43">
        <f>'Est gen ed 23 $$'!N91/'Est gen ed 23 pos'!N$123</f>
        <v>1</v>
      </c>
      <c r="O91" s="34">
        <f>VLOOKUP($A91,'[1]Init $$'!$B$3:$CG$118,15,FALSE)</f>
        <v>25689</v>
      </c>
      <c r="P91" s="43">
        <f>'Est gen ed 23 $$'!P91/'Est gen ed 23 pos'!P$123</f>
        <v>1</v>
      </c>
      <c r="Q91" s="43">
        <f>'Est gen ed 23 $$'!Q91/'Est gen ed 23 pos'!Q$123</f>
        <v>1</v>
      </c>
      <c r="R91" s="43">
        <f>'Est gen ed 23 $$'!R91/'Est gen ed 23 pos'!R$123</f>
        <v>8.000000586083333</v>
      </c>
      <c r="S91" s="43">
        <f>'Est gen ed 23 $$'!S91/'Est gen ed 23 pos'!S$123</f>
        <v>1</v>
      </c>
      <c r="T91" s="43">
        <f>'Est gen ed 23 $$'!T91/'Est gen ed 23 pos'!T$123</f>
        <v>0</v>
      </c>
      <c r="U91" s="43">
        <f>'Est gen ed 23 $$'!U91/'Est gen ed 23 pos'!U$123</f>
        <v>0</v>
      </c>
      <c r="V91" s="43">
        <f>'Est gen ed 23 $$'!V91/'Est gen ed 23 pos'!V$123</f>
        <v>0</v>
      </c>
      <c r="W91" s="43">
        <f>'Est gen ed 23 $$'!W91/'Est gen ed 23 pos'!W$123</f>
        <v>0</v>
      </c>
      <c r="X91" s="34">
        <f>VLOOKUP($A91,'[1]Init $$'!$B$3:$CG$118,24,FALSE)</f>
        <v>0</v>
      </c>
      <c r="Y91" s="34">
        <f>VLOOKUP($A91,'[1]Init $$'!$B$3:$CG$118,25,FALSE)</f>
        <v>0</v>
      </c>
      <c r="Z91" s="34">
        <f>VLOOKUP($A91,'[1]Init $$'!$B$3:$CG$118,26,FALSE)</f>
        <v>0</v>
      </c>
      <c r="AA91" s="34">
        <f>VLOOKUP($A91,'[1]Init $$'!$B$3:$CG$118,27,FALSE)</f>
        <v>0</v>
      </c>
      <c r="AB91" s="43">
        <f>'Est gen ed 23 $$'!AB91/'Est gen ed 23 pos'!AB$123</f>
        <v>1.9999999121515879</v>
      </c>
      <c r="AC91" s="43">
        <f>'Est gen ed 23 $$'!AC91/'Est gen ed 23 pos'!AC$123</f>
        <v>0</v>
      </c>
      <c r="AD91" s="43">
        <f>'Est gen ed 23 $$'!AD91/'Est gen ed 23 pos'!AD$123</f>
        <v>0</v>
      </c>
      <c r="AE91" s="43">
        <f>'Est gen ed 23 $$'!AE91/'Est gen ed 23 pos'!AE$123</f>
        <v>1.9999999121515879</v>
      </c>
      <c r="AF91" s="34">
        <f>VLOOKUP($A91,'[1]Init $$'!$B$3:$CG$118,32,FALSE)</f>
        <v>5184564</v>
      </c>
      <c r="AG91" s="34">
        <f>VLOOKUP($A91,'[1]Init $$'!$B$3:$CG$118,33,FALSE)</f>
        <v>514724</v>
      </c>
      <c r="AH91" s="43">
        <f>'Est gen ed 23 $$'!AH91/'Est gen ed 23 pos'!AH$123</f>
        <v>1.9999999121515879</v>
      </c>
      <c r="AI91" s="43">
        <f>'Est gen ed 23 $$'!AI91/'Est gen ed 23 pos'!AI$123</f>
        <v>4.9999998243031758</v>
      </c>
      <c r="AJ91" s="43">
        <f>'Est gen ed 23 $$'!AJ91/'Est gen ed 23 pos'!AJ$123</f>
        <v>10.99999964860635</v>
      </c>
      <c r="AK91" s="43">
        <f>'Est gen ed 23 $$'!AK91/'Est gen ed 23 pos'!AK$123</f>
        <v>5.9999998243031758</v>
      </c>
      <c r="AL91" s="43">
        <f>'Est gen ed 23 $$'!AL91/'Est gen ed 23 pos'!AL$123</f>
        <v>7.999999234037924</v>
      </c>
      <c r="AM91" s="43">
        <f>'Est gen ed 23 $$'!AM91/'Est gen ed 23 pos'!AM$123</f>
        <v>0</v>
      </c>
      <c r="AN91" s="43">
        <f>'Est gen ed 23 $$'!AN91/'Est gen ed 23 pos'!AN$123</f>
        <v>1.0000010424267696</v>
      </c>
      <c r="AO91" s="43">
        <f>'Est gen ed 23 $$'!AO91/'Est gen ed 23 pos'!AO$123</f>
        <v>0</v>
      </c>
      <c r="AP91" s="34">
        <f>VLOOKUP($A91,'[1]Init $$'!$B$3:$CG$118,42,FALSE)</f>
        <v>277744.5</v>
      </c>
      <c r="AQ91" s="34">
        <f>VLOOKUP($A91,'[1]Init $$'!$B$3:$CG$118,43,FALSE)</f>
        <v>0</v>
      </c>
      <c r="AR91" s="43">
        <f>'Est gen ed 23 $$'!AR91/'Est gen ed 23 pos'!AR$123</f>
        <v>14.999999472909526</v>
      </c>
      <c r="AS91" s="43">
        <f>'Est gen ed 23 $$'!AS91/'Est gen ed 23 pos'!AS$123</f>
        <v>0</v>
      </c>
      <c r="AT91" s="43">
        <f>'Est gen ed 23 $$'!AT91/'Est gen ed 23 pos'!AT$123</f>
        <v>1.9999997446793083</v>
      </c>
      <c r="AU91" s="34">
        <f>VLOOKUP($A91,'[1]Init $$'!$B$3:$CG$118,47,FALSE)</f>
        <v>591327</v>
      </c>
      <c r="AV91" s="34">
        <f>VLOOKUP($A91,'[1]Init $$'!$B$3:$CG$118,48,FALSE)</f>
        <v>0</v>
      </c>
      <c r="AW91" s="34">
        <f>VLOOKUP($A91,'[1]Init $$'!$B$3:$CG$118,49,FALSE)</f>
        <v>0</v>
      </c>
      <c r="AX91" s="34">
        <f>VLOOKUP($A91,'[1]Init $$'!$B$3:$CG$118,50,FALSE)</f>
        <v>0</v>
      </c>
      <c r="AY91" s="34">
        <f>VLOOKUP($A91,'[1]Init $$'!$B$3:$CG$118,51,FALSE)</f>
        <v>75000</v>
      </c>
      <c r="AZ91" s="34">
        <f>VLOOKUP($A91,'[1]Init $$'!$B$3:$CG$118,52,FALSE)</f>
        <v>0</v>
      </c>
      <c r="BA91" s="34">
        <f>VLOOKUP($A91,'[1]Init $$'!$B$3:$CG$118,53,FALSE)</f>
        <v>0</v>
      </c>
      <c r="BB91" s="34">
        <f>VLOOKUP($A91,'[1]Init $$'!$B$3:$CG$118,54,FALSE)</f>
        <v>0</v>
      </c>
      <c r="BC91" s="34">
        <f>VLOOKUP($A91,'[1]Init $$'!$B$3:$CG$118,55,FALSE)</f>
        <v>309988.58</v>
      </c>
      <c r="BD91" s="34">
        <f>VLOOKUP($A91,'[1]Init $$'!$B$3:$CG$118,56,FALSE)</f>
        <v>4993.1499999999996</v>
      </c>
      <c r="BE91" s="34">
        <f>VLOOKUP($A91,'[1]Init $$'!$B$3:$CG$118,57,FALSE)</f>
        <v>0</v>
      </c>
      <c r="BF91" s="43">
        <f>'Est gen ed 23 $$'!BF91/'Est gen ed 23 pos'!BF$123</f>
        <v>0</v>
      </c>
      <c r="BG91" s="43">
        <f>'Est gen ed 23 $$'!BG91/'Est gen ed 23 pos'!BG$123</f>
        <v>0.99999886478304745</v>
      </c>
      <c r="BH91" s="34">
        <f>VLOOKUP($A91,'[1]Init $$'!$B$3:$CG$118,60,FALSE)</f>
        <v>25216.09</v>
      </c>
      <c r="BI91" s="34">
        <f>VLOOKUP($A91,'[1]Init $$'!$B$3:$CG$118,61,FALSE)</f>
        <v>10000</v>
      </c>
      <c r="BJ91" s="34">
        <f>VLOOKUP($A91,'[1]Init $$'!$B$3:$CG$118,62,FALSE)</f>
        <v>36800</v>
      </c>
      <c r="BK91" s="43">
        <f>'Est gen ed 23 $$'!BK91/'Est gen ed 23 pos'!BK$123</f>
        <v>0</v>
      </c>
      <c r="BL91" s="34">
        <f>VLOOKUP($A91,'[1]Init $$'!$B$3:$CG$118,64,FALSE)</f>
        <v>0</v>
      </c>
      <c r="BM91" s="43">
        <f>'Est gen ed 23 $$'!BM91/'Est gen ed 23 pos'!BM$123</f>
        <v>1</v>
      </c>
      <c r="BN91" s="34">
        <f>VLOOKUP($A91,'[1]Init $$'!$B$3:$CG$118,66,FALSE)</f>
        <v>3000</v>
      </c>
      <c r="BO91" s="43">
        <f>'Est gen ed 23 $$'!BO91/'Est gen ed 23 pos'!BO$123</f>
        <v>0</v>
      </c>
      <c r="BP91" s="34">
        <f>VLOOKUP($A91,'[1]Init $$'!$B$3:$CG$118,68,FALSE)</f>
        <v>35100</v>
      </c>
      <c r="BQ91" s="43">
        <f>'Est gen ed 23 $$'!BQ91/'Est gen ed 23 pos'!BQ$123</f>
        <v>1</v>
      </c>
      <c r="BR91" s="43">
        <f>'Est gen ed 23 $$'!BR91/'Est gen ed 23 pos'!BR$123</f>
        <v>0</v>
      </c>
      <c r="BS91" s="34">
        <f>VLOOKUP($A91,'[1]Init $$'!$B$3:$CG$118,71,FALSE)</f>
        <v>140941</v>
      </c>
      <c r="BT91" s="34">
        <f>VLOOKUP($A91,'[1]Init $$'!$B$3:$CG$118,72,FALSE)</f>
        <v>5000</v>
      </c>
      <c r="BU91" s="34">
        <f>VLOOKUP($A91,'[1]Init $$'!$B$3:$CG$118,73,FALSE)</f>
        <v>0</v>
      </c>
      <c r="BV91" s="34">
        <f>VLOOKUP($A91,'[1]Init $$'!$B$3:$CG$118,74,FALSE)</f>
        <v>0</v>
      </c>
      <c r="BW91" s="34">
        <f>VLOOKUP($A91,'[1]Init $$'!$B$3:$CG$118,75,FALSE)</f>
        <v>188121</v>
      </c>
      <c r="BX91" s="43">
        <f>'Est gen ed 23 $$'!BX91/'Est gen ed 23 pos'!BX$123</f>
        <v>1.0000041250219776</v>
      </c>
      <c r="BY91" s="43">
        <f>'Est gen ed 23 $$'!BY91/'Est gen ed 23 pos'!BY$123</f>
        <v>0</v>
      </c>
      <c r="BZ91" s="43">
        <f>'Est gen ed 23 $$'!BZ91/'Est gen ed 23 pos'!BZ$123</f>
        <v>0</v>
      </c>
      <c r="CA91" s="34">
        <f>VLOOKUP($A91,'[1]Init $$'!$B$3:$CG$118,79,FALSE)</f>
        <v>1890494.69</v>
      </c>
      <c r="CB91" s="34">
        <f>VLOOKUP($A91,'[1]Init $$'!$B$3:$CG$118,80,FALSE)</f>
        <v>355035.12</v>
      </c>
      <c r="CC91" s="34">
        <f>VLOOKUP($A91,'[1]Init $$'!$B$3:$CG$118,81,FALSE)</f>
        <v>0</v>
      </c>
      <c r="CD91" s="34">
        <f>VLOOKUP($A91,'[1]Init $$'!$B$3:$CG$118,82,FALSE)</f>
        <v>0</v>
      </c>
      <c r="CE91" s="34">
        <f>VLOOKUP($A91,'[1]Init $$'!$B$3:$CG$118,83,FALSE)</f>
        <v>0</v>
      </c>
      <c r="CF91" s="34">
        <f>VLOOKUP($A91,'[1]Init $$'!$B$3:$CG$118,84,FALSE)</f>
        <v>0</v>
      </c>
      <c r="CJ91" s="28">
        <f t="shared" si="6"/>
        <v>9673812.6300002337</v>
      </c>
      <c r="CK91" s="43">
        <f>'Est gen ed 23 $$'!CK91/'Est gen ed 23 pos'!CK$123</f>
        <v>0.99999604682144683</v>
      </c>
      <c r="CL91" s="43">
        <f>'Est gen ed 23 $$'!CL91/'Est gen ed 23 pos'!CL$123</f>
        <v>2.8933333333333335</v>
      </c>
      <c r="CM91" s="43">
        <f>'Est gen ed 23 $$'!CM91/'Est gen ed 23 pos'!CM$123</f>
        <v>1</v>
      </c>
      <c r="CN91" s="43">
        <f>'Est gen ed 23 $$'!CN91/'Est gen ed 23 pos'!CN$123</f>
        <v>0.46082949308755761</v>
      </c>
      <c r="CO91" s="43">
        <f>'Est gen ed 23 $$'!CO91/'Est gen ed 23 pos'!CO$123</f>
        <v>1</v>
      </c>
      <c r="CP91" s="43">
        <f>'Est gen ed 23 $$'!CP91/'Est gen ed 23 pos'!CP$123</f>
        <v>1</v>
      </c>
      <c r="CQ91" s="43">
        <f>'Est gen ed 23 $$'!CQ91/'Est gen ed 23 pos'!CQ$123</f>
        <v>0</v>
      </c>
      <c r="CR91" s="43">
        <f>'Est gen ed 23 $$'!CR91/'Est gen ed 23 pos'!CR$123</f>
        <v>0</v>
      </c>
      <c r="CS91" s="43">
        <f>'Est gen ed 23 $$'!CS91/'Est gen ed 23 pos'!CS$123</f>
        <v>0</v>
      </c>
      <c r="CT91" s="43">
        <f>'Est gen ed 23 $$'!CT91/'Est gen ed 23 pos'!CT$123</f>
        <v>0</v>
      </c>
      <c r="CU91" s="43">
        <f>'Est gen ed 23 $$'!CU91/'Est gen ed 23 pos'!CU$123</f>
        <v>49</v>
      </c>
      <c r="CZ91" s="43">
        <f>'Est gen ed 23 $$'!CW91/'Est gen ed 23 pos'!CZ$123</f>
        <v>0.9999965685612755</v>
      </c>
      <c r="DB91" s="28">
        <f t="shared" si="7"/>
        <v>5184564</v>
      </c>
      <c r="DC91" s="28">
        <f t="shared" si="4"/>
        <v>0</v>
      </c>
      <c r="DK91" s="34"/>
      <c r="DL91" s="34"/>
    </row>
    <row r="92" spans="1:116" x14ac:dyDescent="0.2">
      <c r="A92">
        <v>456</v>
      </c>
      <c r="B92" t="s">
        <v>36</v>
      </c>
      <c r="C92" t="s">
        <v>1</v>
      </c>
      <c r="D92">
        <v>4</v>
      </c>
      <c r="E92">
        <f>VLOOKUP($A92,'[1]Init $$'!$B$3:$CG$118,4,FALSE)</f>
        <v>590</v>
      </c>
      <c r="F92">
        <f>VLOOKUP($A92,'[1]Init $$'!$B$3:$CG$118,6,FALSE)</f>
        <v>590</v>
      </c>
      <c r="G92">
        <f>VLOOKUP($A92,'[2]$$xSchpostCouncilxLevel'!$A$4:$EW$120,153,FALSE)</f>
        <v>695</v>
      </c>
      <c r="H92" s="50">
        <f t="shared" si="5"/>
        <v>-105</v>
      </c>
      <c r="I92" s="4">
        <f>VLOOKUP($A92,'[1]Init $$'!$B$3:$CG$118,8,FALSE)</f>
        <v>0.66101694915254239</v>
      </c>
      <c r="J92">
        <f>VLOOKUP($A92,'[1]Init $$'!$B$3:$CG$118,7,FALSE)</f>
        <v>390</v>
      </c>
      <c r="K92" s="43">
        <f>'Est gen ed 23 $$'!K92/'Est gen ed 23 pos'!K$123</f>
        <v>1</v>
      </c>
      <c r="L92" s="43">
        <f>'Est gen ed 23 $$'!L92/'Est gen ed 23 pos'!L$123</f>
        <v>0</v>
      </c>
      <c r="M92" s="43">
        <f>'Est gen ed 23 $$'!M92/'Est gen ed 23 pos'!M$123</f>
        <v>1.9999989098695736</v>
      </c>
      <c r="N92" s="43">
        <f>'Est gen ed 23 $$'!N92/'Est gen ed 23 pos'!N$123</f>
        <v>1</v>
      </c>
      <c r="O92" s="34">
        <f>VLOOKUP($A92,'[1]Init $$'!$B$3:$CG$118,15,FALSE)</f>
        <v>8756</v>
      </c>
      <c r="P92" s="43">
        <f>'Est gen ed 23 $$'!P92/'Est gen ed 23 pos'!P$123</f>
        <v>1</v>
      </c>
      <c r="Q92" s="43">
        <f>'Est gen ed 23 $$'!Q92/'Est gen ed 23 pos'!Q$123</f>
        <v>1</v>
      </c>
      <c r="R92" s="43">
        <f>'Est gen ed 23 $$'!R92/'Est gen ed 23 pos'!R$123</f>
        <v>3.0000001953611113</v>
      </c>
      <c r="S92" s="43">
        <f>'Est gen ed 23 $$'!S92/'Est gen ed 23 pos'!S$123</f>
        <v>1</v>
      </c>
      <c r="T92" s="43">
        <f>'Est gen ed 23 $$'!T92/'Est gen ed 23 pos'!T$123</f>
        <v>0</v>
      </c>
      <c r="U92" s="43">
        <f>'Est gen ed 23 $$'!U92/'Est gen ed 23 pos'!U$123</f>
        <v>0</v>
      </c>
      <c r="V92" s="43">
        <f>'Est gen ed 23 $$'!V92/'Est gen ed 23 pos'!V$123</f>
        <v>0</v>
      </c>
      <c r="W92" s="43">
        <f>'Est gen ed 23 $$'!W92/'Est gen ed 23 pos'!W$123</f>
        <v>0</v>
      </c>
      <c r="X92" s="34">
        <f>VLOOKUP($A92,'[1]Init $$'!$B$3:$CG$118,24,FALSE)</f>
        <v>0</v>
      </c>
      <c r="Y92" s="34">
        <f>VLOOKUP($A92,'[1]Init $$'!$B$3:$CG$118,25,FALSE)</f>
        <v>0</v>
      </c>
      <c r="Z92" s="34">
        <f>VLOOKUP($A92,'[1]Init $$'!$B$3:$CG$118,26,FALSE)</f>
        <v>0</v>
      </c>
      <c r="AA92" s="34">
        <f>VLOOKUP($A92,'[1]Init $$'!$B$3:$CG$118,27,FALSE)</f>
        <v>0</v>
      </c>
      <c r="AB92" s="43">
        <f>'Est gen ed 23 $$'!AB92/'Est gen ed 23 pos'!AB$123</f>
        <v>2.9999999121515879</v>
      </c>
      <c r="AC92" s="43">
        <f>'Est gen ed 23 $$'!AC92/'Est gen ed 23 pos'!AC$123</f>
        <v>1.509409663061807</v>
      </c>
      <c r="AD92" s="43">
        <f>'Est gen ed 23 $$'!AD92/'Est gen ed 23 pos'!AD$123</f>
        <v>0</v>
      </c>
      <c r="AE92" s="43">
        <f>'Est gen ed 23 $$'!AE92/'Est gen ed 23 pos'!AE$123</f>
        <v>0</v>
      </c>
      <c r="AF92" s="34">
        <f>VLOOKUP($A92,'[1]Init $$'!$B$3:$CG$118,32,FALSE)</f>
        <v>3524070</v>
      </c>
      <c r="AG92" s="34">
        <f>VLOOKUP($A92,'[1]Init $$'!$B$3:$CG$118,33,FALSE)</f>
        <v>349870</v>
      </c>
      <c r="AH92" s="43">
        <f>'Est gen ed 23 $$'!AH92/'Est gen ed 23 pos'!AH$123</f>
        <v>1</v>
      </c>
      <c r="AI92" s="43">
        <f>'Est gen ed 23 $$'!AI92/'Est gen ed 23 pos'!AI$123</f>
        <v>2.9999999121515879</v>
      </c>
      <c r="AJ92" s="43">
        <f>'Est gen ed 23 $$'!AJ92/'Est gen ed 23 pos'!AJ$123</f>
        <v>6.9999997364547637</v>
      </c>
      <c r="AK92" s="43">
        <f>'Est gen ed 23 $$'!AK92/'Est gen ed 23 pos'!AK$123</f>
        <v>1.9999999121515879</v>
      </c>
      <c r="AL92" s="43">
        <f>'Est gen ed 23 $$'!AL92/'Est gen ed 23 pos'!AL$123</f>
        <v>1.9999997446793083</v>
      </c>
      <c r="AM92" s="43">
        <f>'Est gen ed 23 $$'!AM92/'Est gen ed 23 pos'!AM$123</f>
        <v>0</v>
      </c>
      <c r="AN92" s="43">
        <f>'Est gen ed 23 $$'!AN92/'Est gen ed 23 pos'!AN$123</f>
        <v>1.0000010424267696</v>
      </c>
      <c r="AO92" s="43">
        <f>'Est gen ed 23 $$'!AO92/'Est gen ed 23 pos'!AO$123</f>
        <v>0</v>
      </c>
      <c r="AP92" s="34">
        <f>VLOOKUP($A92,'[1]Init $$'!$B$3:$CG$118,42,FALSE)</f>
        <v>121849.2</v>
      </c>
      <c r="AQ92" s="34">
        <f>VLOOKUP($A92,'[1]Init $$'!$B$3:$CG$118,43,FALSE)</f>
        <v>0</v>
      </c>
      <c r="AR92" s="43">
        <f>'Est gen ed 23 $$'!AR92/'Est gen ed 23 pos'!AR$123</f>
        <v>9.4999996925305563</v>
      </c>
      <c r="AS92" s="43">
        <f>'Est gen ed 23 $$'!AS92/'Est gen ed 23 pos'!AS$123</f>
        <v>0</v>
      </c>
      <c r="AT92" s="43">
        <f>'Est gen ed 23 $$'!AT92/'Est gen ed 23 pos'!AT$123</f>
        <v>1</v>
      </c>
      <c r="AU92" s="34">
        <f>VLOOKUP($A92,'[1]Init $$'!$B$3:$CG$118,47,FALSE)</f>
        <v>358380</v>
      </c>
      <c r="AV92" s="34">
        <f>VLOOKUP($A92,'[1]Init $$'!$B$3:$CG$118,48,FALSE)</f>
        <v>0</v>
      </c>
      <c r="AW92" s="34">
        <f>VLOOKUP($A92,'[1]Init $$'!$B$3:$CG$118,49,FALSE)</f>
        <v>0</v>
      </c>
      <c r="AX92" s="34">
        <f>VLOOKUP($A92,'[1]Init $$'!$B$3:$CG$118,50,FALSE)</f>
        <v>0</v>
      </c>
      <c r="AY92" s="34">
        <f>VLOOKUP($A92,'[1]Init $$'!$B$3:$CG$118,51,FALSE)</f>
        <v>70000</v>
      </c>
      <c r="AZ92" s="34">
        <f>VLOOKUP($A92,'[1]Init $$'!$B$3:$CG$118,52,FALSE)</f>
        <v>0</v>
      </c>
      <c r="BA92" s="34">
        <f>VLOOKUP($A92,'[1]Init $$'!$B$3:$CG$118,53,FALSE)</f>
        <v>0</v>
      </c>
      <c r="BB92" s="34">
        <f>VLOOKUP($A92,'[1]Init $$'!$B$3:$CG$118,54,FALSE)</f>
        <v>0</v>
      </c>
      <c r="BC92" s="34">
        <f>VLOOKUP($A92,'[1]Init $$'!$B$3:$CG$118,55,FALSE)</f>
        <v>0</v>
      </c>
      <c r="BD92" s="34">
        <f>VLOOKUP($A92,'[1]Init $$'!$B$3:$CG$118,56,FALSE)</f>
        <v>0</v>
      </c>
      <c r="BE92" s="34">
        <f>VLOOKUP($A92,'[1]Init $$'!$B$3:$CG$118,57,FALSE)</f>
        <v>14750</v>
      </c>
      <c r="BF92" s="43">
        <f>'Est gen ed 23 $$'!BF92/'Est gen ed 23 pos'!BF$123</f>
        <v>0</v>
      </c>
      <c r="BG92" s="43">
        <f>'Est gen ed 23 $$'!BG92/'Est gen ed 23 pos'!BG$123</f>
        <v>0</v>
      </c>
      <c r="BH92" s="34">
        <f>VLOOKUP($A92,'[1]Init $$'!$B$3:$CG$118,60,FALSE)</f>
        <v>0</v>
      </c>
      <c r="BI92" s="34">
        <f>VLOOKUP($A92,'[1]Init $$'!$B$3:$CG$118,61,FALSE)</f>
        <v>0</v>
      </c>
      <c r="BJ92" s="34">
        <f>VLOOKUP($A92,'[1]Init $$'!$B$3:$CG$118,62,FALSE)</f>
        <v>0</v>
      </c>
      <c r="BK92" s="43">
        <f>'Est gen ed 23 $$'!BK92/'Est gen ed 23 pos'!BK$123</f>
        <v>0</v>
      </c>
      <c r="BL92" s="34">
        <f>VLOOKUP($A92,'[1]Init $$'!$B$3:$CG$118,64,FALSE)</f>
        <v>0</v>
      </c>
      <c r="BM92" s="43">
        <f>'Est gen ed 23 $$'!BM92/'Est gen ed 23 pos'!BM$123</f>
        <v>0</v>
      </c>
      <c r="BN92" s="34">
        <f>VLOOKUP($A92,'[1]Init $$'!$B$3:$CG$118,66,FALSE)</f>
        <v>0</v>
      </c>
      <c r="BO92" s="43">
        <f>'Est gen ed 23 $$'!BO92/'Est gen ed 23 pos'!BO$123</f>
        <v>0</v>
      </c>
      <c r="BP92" s="34">
        <f>VLOOKUP($A92,'[1]Init $$'!$B$3:$CG$118,68,FALSE)</f>
        <v>0</v>
      </c>
      <c r="BQ92" s="43">
        <f>'Est gen ed 23 $$'!BQ92/'Est gen ed 23 pos'!BQ$123</f>
        <v>0</v>
      </c>
      <c r="BR92" s="43">
        <f>'Est gen ed 23 $$'!BR92/'Est gen ed 23 pos'!BR$123</f>
        <v>0</v>
      </c>
      <c r="BS92" s="34">
        <f>VLOOKUP($A92,'[1]Init $$'!$B$3:$CG$118,71,FALSE)</f>
        <v>0</v>
      </c>
      <c r="BT92" s="34">
        <f>VLOOKUP($A92,'[1]Init $$'!$B$3:$CG$118,72,FALSE)</f>
        <v>0</v>
      </c>
      <c r="BU92" s="34">
        <f>VLOOKUP($A92,'[1]Init $$'!$B$3:$CG$118,73,FALSE)</f>
        <v>0</v>
      </c>
      <c r="BV92" s="34">
        <f>VLOOKUP($A92,'[1]Init $$'!$B$3:$CG$118,74,FALSE)</f>
        <v>0</v>
      </c>
      <c r="BW92" s="34">
        <f>VLOOKUP($A92,'[1]Init $$'!$B$3:$CG$118,75,FALSE)</f>
        <v>0</v>
      </c>
      <c r="BX92" s="43">
        <f>'Est gen ed 23 $$'!BX92/'Est gen ed 23 pos'!BX$123</f>
        <v>0</v>
      </c>
      <c r="BY92" s="43">
        <f>'Est gen ed 23 $$'!BY92/'Est gen ed 23 pos'!BY$123</f>
        <v>0</v>
      </c>
      <c r="BZ92" s="43">
        <f>'Est gen ed 23 $$'!BZ92/'Est gen ed 23 pos'!BZ$123</f>
        <v>0</v>
      </c>
      <c r="CA92" s="34">
        <f>VLOOKUP($A92,'[1]Init $$'!$B$3:$CG$118,79,FALSE)</f>
        <v>1307720.7</v>
      </c>
      <c r="CB92" s="34">
        <f>VLOOKUP($A92,'[1]Init $$'!$B$3:$CG$118,80,FALSE)</f>
        <v>183968.4</v>
      </c>
      <c r="CC92" s="34">
        <f>VLOOKUP($A92,'[1]Init $$'!$B$3:$CG$118,81,FALSE)</f>
        <v>0</v>
      </c>
      <c r="CD92" s="34">
        <f>VLOOKUP($A92,'[1]Init $$'!$B$3:$CG$118,82,FALSE)</f>
        <v>0</v>
      </c>
      <c r="CE92" s="34">
        <f>VLOOKUP($A92,'[1]Init $$'!$B$3:$CG$118,83,FALSE)</f>
        <v>0</v>
      </c>
      <c r="CF92" s="34">
        <f>VLOOKUP($A92,'[1]Init $$'!$B$3:$CG$118,84,FALSE)</f>
        <v>0</v>
      </c>
      <c r="CJ92" s="28">
        <f t="shared" si="6"/>
        <v>5939405.3094087215</v>
      </c>
      <c r="CK92" s="43">
        <f>'Est gen ed 23 $$'!CK92/'Est gen ed 23 pos'!CK$123</f>
        <v>0.99999604682144683</v>
      </c>
      <c r="CL92" s="43">
        <f>'Est gen ed 23 $$'!CL92/'Est gen ed 23 pos'!CL$123</f>
        <v>1.9666666666666663</v>
      </c>
      <c r="CM92" s="43">
        <f>'Est gen ed 23 $$'!CM92/'Est gen ed 23 pos'!CM$123</f>
        <v>1</v>
      </c>
      <c r="CN92" s="43">
        <f>'Est gen ed 23 $$'!CN92/'Est gen ed 23 pos'!CN$123</f>
        <v>0.67796610169491511</v>
      </c>
      <c r="CO92" s="43">
        <f>'Est gen ed 23 $$'!CO92/'Est gen ed 23 pos'!CO$123</f>
        <v>1</v>
      </c>
      <c r="CP92" s="43">
        <f>'Est gen ed 23 $$'!CP92/'Est gen ed 23 pos'!CP$123</f>
        <v>1</v>
      </c>
      <c r="CQ92" s="43">
        <f>'Est gen ed 23 $$'!CQ92/'Est gen ed 23 pos'!CQ$123</f>
        <v>0</v>
      </c>
      <c r="CR92" s="43">
        <f>'Est gen ed 23 $$'!CR92/'Est gen ed 23 pos'!CR$123</f>
        <v>0</v>
      </c>
      <c r="CS92" s="43">
        <f>'Est gen ed 23 $$'!CS92/'Est gen ed 23 pos'!CS$123</f>
        <v>0</v>
      </c>
      <c r="CT92" s="43">
        <f>'Est gen ed 23 $$'!CT92/'Est gen ed 23 pos'!CT$123</f>
        <v>0</v>
      </c>
      <c r="CU92" s="43">
        <f>'Est gen ed 23 $$'!CU92/'Est gen ed 23 pos'!CU$123</f>
        <v>22</v>
      </c>
      <c r="CZ92" s="43">
        <f>'Est gen ed 23 $$'!CW92/'Est gen ed 23 pos'!CZ$123</f>
        <v>0</v>
      </c>
      <c r="DB92" s="28">
        <f t="shared" si="7"/>
        <v>3524070</v>
      </c>
      <c r="DC92" s="28">
        <f t="shared" si="4"/>
        <v>0</v>
      </c>
      <c r="DK92" s="34"/>
      <c r="DL92" s="34"/>
    </row>
    <row r="93" spans="1:116" x14ac:dyDescent="0.2">
      <c r="A93">
        <v>305</v>
      </c>
      <c r="B93" t="s">
        <v>33</v>
      </c>
      <c r="C93" t="s">
        <v>7</v>
      </c>
      <c r="D93">
        <v>2</v>
      </c>
      <c r="E93">
        <f>VLOOKUP($A93,'[1]Init $$'!$B$3:$CG$118,4,FALSE)</f>
        <v>171</v>
      </c>
      <c r="F93">
        <f>VLOOKUP($A93,'[1]Init $$'!$B$3:$CG$118,6,FALSE)</f>
        <v>152</v>
      </c>
      <c r="G93">
        <f>VLOOKUP($A93,'[2]$$xSchpostCouncilxLevel'!$A$4:$EW$120,153,FALSE)</f>
        <v>162</v>
      </c>
      <c r="H93" s="50">
        <f t="shared" si="5"/>
        <v>-10</v>
      </c>
      <c r="I93" s="4">
        <f>VLOOKUP($A93,'[1]Init $$'!$B$3:$CG$118,8,FALSE)</f>
        <v>3.5087719298245612E-2</v>
      </c>
      <c r="J93">
        <f>VLOOKUP($A93,'[1]Init $$'!$B$3:$CG$118,7,FALSE)</f>
        <v>6</v>
      </c>
      <c r="K93" s="43">
        <f>'Est gen ed 23 $$'!K93/'Est gen ed 23 pos'!K$123</f>
        <v>1</v>
      </c>
      <c r="L93" s="43">
        <f>'Est gen ed 23 $$'!L93/'Est gen ed 23 pos'!L$123</f>
        <v>0</v>
      </c>
      <c r="M93" s="43">
        <f>'Est gen ed 23 $$'!M93/'Est gen ed 23 pos'!M$123</f>
        <v>0</v>
      </c>
      <c r="N93" s="43">
        <f>'Est gen ed 23 $$'!N93/'Est gen ed 23 pos'!N$123</f>
        <v>1</v>
      </c>
      <c r="O93" s="34">
        <f>VLOOKUP($A93,'[1]Init $$'!$B$3:$CG$118,15,FALSE)</f>
        <v>3495.6</v>
      </c>
      <c r="P93" s="43">
        <f>'Est gen ed 23 $$'!P93/'Est gen ed 23 pos'!P$123</f>
        <v>1</v>
      </c>
      <c r="Q93" s="43">
        <f>'Est gen ed 23 $$'!Q93/'Est gen ed 23 pos'!Q$123</f>
        <v>1</v>
      </c>
      <c r="R93" s="43">
        <f>'Est gen ed 23 $$'!R93/'Est gen ed 23 pos'!R$123</f>
        <v>1</v>
      </c>
      <c r="S93" s="43">
        <f>'Est gen ed 23 $$'!S93/'Est gen ed 23 pos'!S$123</f>
        <v>1</v>
      </c>
      <c r="T93" s="43">
        <f>'Est gen ed 23 $$'!T93/'Est gen ed 23 pos'!T$123</f>
        <v>0</v>
      </c>
      <c r="U93" s="43">
        <f>'Est gen ed 23 $$'!U93/'Est gen ed 23 pos'!U$123</f>
        <v>0</v>
      </c>
      <c r="V93" s="43">
        <f>'Est gen ed 23 $$'!V93/'Est gen ed 23 pos'!V$123</f>
        <v>1</v>
      </c>
      <c r="W93" s="43">
        <f>'Est gen ed 23 $$'!W93/'Est gen ed 23 pos'!W$123</f>
        <v>1</v>
      </c>
      <c r="X93" s="34">
        <f>VLOOKUP($A93,'[1]Init $$'!$B$3:$CG$118,24,FALSE)</f>
        <v>34046.1</v>
      </c>
      <c r="Y93" s="34">
        <f>VLOOKUP($A93,'[1]Init $$'!$B$3:$CG$118,25,FALSE)</f>
        <v>0</v>
      </c>
      <c r="Z93" s="34">
        <f>VLOOKUP($A93,'[1]Init $$'!$B$3:$CG$118,26,FALSE)</f>
        <v>0</v>
      </c>
      <c r="AA93" s="34">
        <f>VLOOKUP($A93,'[1]Init $$'!$B$3:$CG$118,27,FALSE)</f>
        <v>0</v>
      </c>
      <c r="AB93" s="43">
        <f>'Est gen ed 23 $$'!AB93/'Est gen ed 23 pos'!AB$123</f>
        <v>0</v>
      </c>
      <c r="AC93" s="43">
        <f>'Est gen ed 23 $$'!AC93/'Est gen ed 23 pos'!AC$123</f>
        <v>0</v>
      </c>
      <c r="AD93" s="43">
        <f>'Est gen ed 23 $$'!AD93/'Est gen ed 23 pos'!AD$123</f>
        <v>0</v>
      </c>
      <c r="AE93" s="43">
        <f>'Est gen ed 23 $$'!AE93/'Est gen ed 23 pos'!AE$123</f>
        <v>0</v>
      </c>
      <c r="AF93" s="34">
        <f>VLOOKUP($A93,'[1]Init $$'!$B$3:$CG$118,32,FALSE)</f>
        <v>907896</v>
      </c>
      <c r="AG93" s="34">
        <f>VLOOKUP($A93,'[1]Init $$'!$B$3:$CG$118,33,FALSE)</f>
        <v>55575</v>
      </c>
      <c r="AH93" s="43">
        <f>'Est gen ed 23 $$'!AH93/'Est gen ed 23 pos'!AH$123</f>
        <v>1</v>
      </c>
      <c r="AI93" s="43">
        <f>'Est gen ed 23 $$'!AI93/'Est gen ed 23 pos'!AI$123</f>
        <v>1</v>
      </c>
      <c r="AJ93" s="43">
        <f>'Est gen ed 23 $$'!AJ93/'Est gen ed 23 pos'!AJ$123</f>
        <v>1.9999999121515879</v>
      </c>
      <c r="AK93" s="43">
        <f>'Est gen ed 23 $$'!AK93/'Est gen ed 23 pos'!AK$123</f>
        <v>0</v>
      </c>
      <c r="AL93" s="43">
        <f>'Est gen ed 23 $$'!AL93/'Est gen ed 23 pos'!AL$123</f>
        <v>0</v>
      </c>
      <c r="AM93" s="43">
        <f>'Est gen ed 23 $$'!AM93/'Est gen ed 23 pos'!AM$123</f>
        <v>0</v>
      </c>
      <c r="AN93" s="43">
        <f>'Est gen ed 23 $$'!AN93/'Est gen ed 23 pos'!AN$123</f>
        <v>0</v>
      </c>
      <c r="AO93" s="43">
        <f>'Est gen ed 23 $$'!AO93/'Est gen ed 23 pos'!AO$123</f>
        <v>0</v>
      </c>
      <c r="AP93" s="34">
        <f>VLOOKUP($A93,'[1]Init $$'!$B$3:$CG$118,42,FALSE)</f>
        <v>23294.7</v>
      </c>
      <c r="AQ93" s="34">
        <f>VLOOKUP($A93,'[1]Init $$'!$B$3:$CG$118,43,FALSE)</f>
        <v>0</v>
      </c>
      <c r="AR93" s="43">
        <f>'Est gen ed 23 $$'!AR93/'Est gen ed 23 pos'!AR$123</f>
        <v>1.9999999121515879</v>
      </c>
      <c r="AS93" s="43">
        <f>'Est gen ed 23 $$'!AS93/'Est gen ed 23 pos'!AS$123</f>
        <v>0</v>
      </c>
      <c r="AT93" s="43">
        <f>'Est gen ed 23 $$'!AT93/'Est gen ed 23 pos'!AT$123</f>
        <v>0</v>
      </c>
      <c r="AU93" s="34">
        <f>VLOOKUP($A93,'[1]Init $$'!$B$3:$CG$118,47,FALSE)</f>
        <v>60924.6</v>
      </c>
      <c r="AV93" s="34">
        <f>VLOOKUP($A93,'[1]Init $$'!$B$3:$CG$118,48,FALSE)</f>
        <v>0</v>
      </c>
      <c r="AW93" s="34">
        <f>VLOOKUP($A93,'[1]Init $$'!$B$3:$CG$118,49,FALSE)</f>
        <v>0</v>
      </c>
      <c r="AX93" s="34">
        <f>VLOOKUP($A93,'[1]Init $$'!$B$3:$CG$118,50,FALSE)</f>
        <v>0</v>
      </c>
      <c r="AY93" s="34">
        <f>VLOOKUP($A93,'[1]Init $$'!$B$3:$CG$118,51,FALSE)</f>
        <v>0</v>
      </c>
      <c r="AZ93" s="34">
        <f>VLOOKUP($A93,'[1]Init $$'!$B$3:$CG$118,52,FALSE)</f>
        <v>0</v>
      </c>
      <c r="BA93" s="34">
        <f>VLOOKUP($A93,'[1]Init $$'!$B$3:$CG$118,53,FALSE)</f>
        <v>0</v>
      </c>
      <c r="BB93" s="34">
        <f>VLOOKUP($A93,'[1]Init $$'!$B$3:$CG$118,54,FALSE)</f>
        <v>0</v>
      </c>
      <c r="BC93" s="34">
        <f>VLOOKUP($A93,'[1]Init $$'!$B$3:$CG$118,55,FALSE)</f>
        <v>0</v>
      </c>
      <c r="BD93" s="34">
        <f>VLOOKUP($A93,'[1]Init $$'!$B$3:$CG$118,56,FALSE)</f>
        <v>0</v>
      </c>
      <c r="BE93" s="34">
        <f>VLOOKUP($A93,'[1]Init $$'!$B$3:$CG$118,57,FALSE)</f>
        <v>4275</v>
      </c>
      <c r="BF93" s="43">
        <f>'Est gen ed 23 $$'!BF93/'Est gen ed 23 pos'!BF$123</f>
        <v>0</v>
      </c>
      <c r="BG93" s="43">
        <f>'Est gen ed 23 $$'!BG93/'Est gen ed 23 pos'!BG$123</f>
        <v>0</v>
      </c>
      <c r="BH93" s="34">
        <f>VLOOKUP($A93,'[1]Init $$'!$B$3:$CG$118,60,FALSE)</f>
        <v>0</v>
      </c>
      <c r="BI93" s="34">
        <f>VLOOKUP($A93,'[1]Init $$'!$B$3:$CG$118,61,FALSE)</f>
        <v>0</v>
      </c>
      <c r="BJ93" s="34">
        <f>VLOOKUP($A93,'[1]Init $$'!$B$3:$CG$118,62,FALSE)</f>
        <v>0</v>
      </c>
      <c r="BK93" s="43">
        <f>'Est gen ed 23 $$'!BK93/'Est gen ed 23 pos'!BK$123</f>
        <v>0</v>
      </c>
      <c r="BL93" s="34">
        <f>VLOOKUP($A93,'[1]Init $$'!$B$3:$CG$118,64,FALSE)</f>
        <v>0</v>
      </c>
      <c r="BM93" s="43">
        <f>'Est gen ed 23 $$'!BM93/'Est gen ed 23 pos'!BM$123</f>
        <v>0</v>
      </c>
      <c r="BN93" s="34">
        <f>VLOOKUP($A93,'[1]Init $$'!$B$3:$CG$118,66,FALSE)</f>
        <v>0</v>
      </c>
      <c r="BO93" s="43">
        <f>'Est gen ed 23 $$'!BO93/'Est gen ed 23 pos'!BO$123</f>
        <v>0</v>
      </c>
      <c r="BP93" s="34">
        <f>VLOOKUP($A93,'[1]Init $$'!$B$3:$CG$118,68,FALSE)</f>
        <v>0</v>
      </c>
      <c r="BQ93" s="43">
        <f>'Est gen ed 23 $$'!BQ93/'Est gen ed 23 pos'!BQ$123</f>
        <v>0</v>
      </c>
      <c r="BR93" s="43">
        <f>'Est gen ed 23 $$'!BR93/'Est gen ed 23 pos'!BR$123</f>
        <v>0</v>
      </c>
      <c r="BS93" s="34">
        <f>VLOOKUP($A93,'[1]Init $$'!$B$3:$CG$118,71,FALSE)</f>
        <v>0</v>
      </c>
      <c r="BT93" s="34">
        <f>VLOOKUP($A93,'[1]Init $$'!$B$3:$CG$118,72,FALSE)</f>
        <v>0</v>
      </c>
      <c r="BU93" s="34">
        <f>VLOOKUP($A93,'[1]Init $$'!$B$3:$CG$118,73,FALSE)</f>
        <v>15325</v>
      </c>
      <c r="BV93" s="34">
        <f>VLOOKUP($A93,'[1]Init $$'!$B$3:$CG$118,74,FALSE)</f>
        <v>0</v>
      </c>
      <c r="BW93" s="34">
        <f>VLOOKUP($A93,'[1]Init $$'!$B$3:$CG$118,75,FALSE)</f>
        <v>0</v>
      </c>
      <c r="BX93" s="43">
        <f>'Est gen ed 23 $$'!BX93/'Est gen ed 23 pos'!BX$123</f>
        <v>0</v>
      </c>
      <c r="BY93" s="43">
        <f>'Est gen ed 23 $$'!BY93/'Est gen ed 23 pos'!BY$123</f>
        <v>0</v>
      </c>
      <c r="BZ93" s="43">
        <f>'Est gen ed 23 $$'!BZ93/'Est gen ed 23 pos'!BZ$123</f>
        <v>0</v>
      </c>
      <c r="CA93" s="34">
        <f>VLOOKUP($A93,'[1]Init $$'!$B$3:$CG$118,79,FALSE)</f>
        <v>16095.02</v>
      </c>
      <c r="CB93" s="34">
        <f>VLOOKUP($A93,'[1]Init $$'!$B$3:$CG$118,80,FALSE)</f>
        <v>0</v>
      </c>
      <c r="CC93" s="34">
        <f>VLOOKUP($A93,'[1]Init $$'!$B$3:$CG$118,81,FALSE)</f>
        <v>16560.560000000001</v>
      </c>
      <c r="CD93" s="34">
        <f>VLOOKUP($A93,'[1]Init $$'!$B$3:$CG$118,82,FALSE)</f>
        <v>96204.19</v>
      </c>
      <c r="CE93" s="34">
        <f>VLOOKUP($A93,'[1]Init $$'!$B$3:$CG$118,83,FALSE)</f>
        <v>621121.77</v>
      </c>
      <c r="CF93" s="34">
        <f>VLOOKUP($A93,'[1]Init $$'!$B$3:$CG$118,84,FALSE)</f>
        <v>0</v>
      </c>
      <c r="CJ93" s="28">
        <f t="shared" si="6"/>
        <v>1854827.5399998243</v>
      </c>
      <c r="CK93" s="43">
        <f>'Est gen ed 23 $$'!CK93/'Est gen ed 23 pos'!CK$123</f>
        <v>0.99999604682144683</v>
      </c>
      <c r="CL93" s="43">
        <f>'Est gen ed 23 $$'!CL93/'Est gen ed 23 pos'!CL$123</f>
        <v>0</v>
      </c>
      <c r="CM93" s="43">
        <f>'Est gen ed 23 $$'!CM93/'Est gen ed 23 pos'!CM$123</f>
        <v>0.5</v>
      </c>
      <c r="CN93" s="43">
        <f>'Est gen ed 23 $$'!CN93/'Est gen ed 23 pos'!CN$123</f>
        <v>0</v>
      </c>
      <c r="CO93" s="43">
        <f>'Est gen ed 23 $$'!CO93/'Est gen ed 23 pos'!CO$123</f>
        <v>0</v>
      </c>
      <c r="CP93" s="43">
        <f>'Est gen ed 23 $$'!CP93/'Est gen ed 23 pos'!CP$123</f>
        <v>0</v>
      </c>
      <c r="CQ93" s="43">
        <f>'Est gen ed 23 $$'!CQ93/'Est gen ed 23 pos'!CQ$123</f>
        <v>0.99999604682144683</v>
      </c>
      <c r="CR93" s="43">
        <f>'Est gen ed 23 $$'!CR93/'Est gen ed 23 pos'!CR$123</f>
        <v>0.99999604682144683</v>
      </c>
      <c r="CS93" s="43">
        <f>'Est gen ed 23 $$'!CS93/'Est gen ed 23 pos'!CS$123</f>
        <v>0.99999604682144683</v>
      </c>
      <c r="CT93" s="43">
        <f>'Est gen ed 23 $$'!CT93/'Est gen ed 23 pos'!CT$123</f>
        <v>2</v>
      </c>
      <c r="CU93" s="43">
        <f>'Est gen ed 23 $$'!CU93/'Est gen ed 23 pos'!CU$123</f>
        <v>9</v>
      </c>
      <c r="CZ93" s="43">
        <f>'Est gen ed 23 $$'!CW93/'Est gen ed 23 pos'!CZ$123</f>
        <v>0</v>
      </c>
      <c r="DB93" s="28">
        <f t="shared" si="7"/>
        <v>907896</v>
      </c>
      <c r="DC93" s="28">
        <f t="shared" si="4"/>
        <v>733886.52</v>
      </c>
      <c r="DK93" s="34"/>
      <c r="DL93" s="34"/>
    </row>
    <row r="94" spans="1:116" x14ac:dyDescent="0.2">
      <c r="A94">
        <v>307</v>
      </c>
      <c r="B94" t="s">
        <v>32</v>
      </c>
      <c r="C94" t="s">
        <v>7</v>
      </c>
      <c r="D94">
        <v>8</v>
      </c>
      <c r="E94">
        <f>VLOOKUP($A94,'[1]Init $$'!$B$3:$CG$118,4,FALSE)</f>
        <v>265</v>
      </c>
      <c r="F94">
        <f>VLOOKUP($A94,'[1]Init $$'!$B$3:$CG$118,6,FALSE)</f>
        <v>207</v>
      </c>
      <c r="G94">
        <f>VLOOKUP($A94,'[2]$$xSchpostCouncilxLevel'!$A$4:$EW$120,153,FALSE)</f>
        <v>202</v>
      </c>
      <c r="H94" s="50">
        <f t="shared" si="5"/>
        <v>5</v>
      </c>
      <c r="I94" s="4">
        <f>VLOOKUP($A94,'[1]Init $$'!$B$3:$CG$118,8,FALSE)</f>
        <v>0.84905660377358494</v>
      </c>
      <c r="J94">
        <f>VLOOKUP($A94,'[1]Init $$'!$B$3:$CG$118,7,FALSE)</f>
        <v>225</v>
      </c>
      <c r="K94" s="43">
        <f>'Est gen ed 23 $$'!K94/'Est gen ed 23 pos'!K$123</f>
        <v>1</v>
      </c>
      <c r="L94" s="43">
        <f>'Est gen ed 23 $$'!L94/'Est gen ed 23 pos'!L$123</f>
        <v>0</v>
      </c>
      <c r="M94" s="43">
        <f>'Est gen ed 23 $$'!M94/'Est gen ed 23 pos'!M$123</f>
        <v>0</v>
      </c>
      <c r="N94" s="43">
        <f>'Est gen ed 23 $$'!N94/'Est gen ed 23 pos'!N$123</f>
        <v>1</v>
      </c>
      <c r="O94" s="34">
        <f>VLOOKUP($A94,'[1]Init $$'!$B$3:$CG$118,15,FALSE)</f>
        <v>7007.65</v>
      </c>
      <c r="P94" s="43">
        <f>'Est gen ed 23 $$'!P94/'Est gen ed 23 pos'!P$123</f>
        <v>1</v>
      </c>
      <c r="Q94" s="43">
        <f>'Est gen ed 23 $$'!Q94/'Est gen ed 23 pos'!Q$123</f>
        <v>1</v>
      </c>
      <c r="R94" s="43">
        <f>'Est gen ed 23 $$'!R94/'Est gen ed 23 pos'!R$123</f>
        <v>1</v>
      </c>
      <c r="S94" s="43">
        <f>'Est gen ed 23 $$'!S94/'Est gen ed 23 pos'!S$123</f>
        <v>1</v>
      </c>
      <c r="T94" s="43">
        <f>'Est gen ed 23 $$'!T94/'Est gen ed 23 pos'!T$123</f>
        <v>1.9999999121515879</v>
      </c>
      <c r="U94" s="43">
        <f>'Est gen ed 23 $$'!U94/'Est gen ed 23 pos'!U$123</f>
        <v>0</v>
      </c>
      <c r="V94" s="43">
        <f>'Est gen ed 23 $$'!V94/'Est gen ed 23 pos'!V$123</f>
        <v>1.9999999121515879</v>
      </c>
      <c r="W94" s="43">
        <f>'Est gen ed 23 $$'!W94/'Est gen ed 23 pos'!W$123</f>
        <v>3.9999997446793079</v>
      </c>
      <c r="X94" s="34">
        <f>VLOOKUP($A94,'[1]Init $$'!$B$3:$CG$118,24,FALSE)</f>
        <v>103930.2</v>
      </c>
      <c r="Y94" s="34">
        <f>VLOOKUP($A94,'[1]Init $$'!$B$3:$CG$118,25,FALSE)</f>
        <v>0</v>
      </c>
      <c r="Z94" s="34">
        <f>VLOOKUP($A94,'[1]Init $$'!$B$3:$CG$118,26,FALSE)</f>
        <v>0</v>
      </c>
      <c r="AA94" s="34">
        <f>VLOOKUP($A94,'[1]Init $$'!$B$3:$CG$118,27,FALSE)</f>
        <v>0</v>
      </c>
      <c r="AB94" s="43">
        <f>'Est gen ed 23 $$'!AB94/'Est gen ed 23 pos'!AB$123</f>
        <v>0</v>
      </c>
      <c r="AC94" s="43">
        <f>'Est gen ed 23 $$'!AC94/'Est gen ed 23 pos'!AC$123</f>
        <v>0</v>
      </c>
      <c r="AD94" s="43">
        <f>'Est gen ed 23 $$'!AD94/'Est gen ed 23 pos'!AD$123</f>
        <v>0</v>
      </c>
      <c r="AE94" s="43">
        <f>'Est gen ed 23 $$'!AE94/'Est gen ed 23 pos'!AE$123</f>
        <v>0</v>
      </c>
      <c r="AF94" s="34">
        <f>VLOOKUP($A94,'[1]Init $$'!$B$3:$CG$118,32,FALSE)</f>
        <v>1236411</v>
      </c>
      <c r="AG94" s="34">
        <f>VLOOKUP($A94,'[1]Init $$'!$B$3:$CG$118,33,FALSE)</f>
        <v>86125</v>
      </c>
      <c r="AH94" s="43">
        <f>'Est gen ed 23 $$'!AH94/'Est gen ed 23 pos'!AH$123</f>
        <v>1</v>
      </c>
      <c r="AI94" s="43">
        <f>'Est gen ed 23 $$'!AI94/'Est gen ed 23 pos'!AI$123</f>
        <v>1</v>
      </c>
      <c r="AJ94" s="43">
        <f>'Est gen ed 23 $$'!AJ94/'Est gen ed 23 pos'!AJ$123</f>
        <v>2.9999999121515879</v>
      </c>
      <c r="AK94" s="43">
        <f>'Est gen ed 23 $$'!AK94/'Est gen ed 23 pos'!AK$123</f>
        <v>3.9999998243031758</v>
      </c>
      <c r="AL94" s="43">
        <f>'Est gen ed 23 $$'!AL94/'Est gen ed 23 pos'!AL$123</f>
        <v>5.9999994893586166</v>
      </c>
      <c r="AM94" s="43">
        <f>'Est gen ed 23 $$'!AM94/'Est gen ed 23 pos'!AM$123</f>
        <v>0</v>
      </c>
      <c r="AN94" s="43">
        <f>'Est gen ed 23 $$'!AN94/'Est gen ed 23 pos'!AN$123</f>
        <v>0</v>
      </c>
      <c r="AO94" s="43">
        <f>'Est gen ed 23 $$'!AO94/'Est gen ed 23 pos'!AO$123</f>
        <v>0</v>
      </c>
      <c r="AP94" s="34">
        <f>VLOOKUP($A94,'[1]Init $$'!$B$3:$CG$118,42,FALSE)</f>
        <v>132600.6</v>
      </c>
      <c r="AQ94" s="34">
        <f>VLOOKUP($A94,'[1]Init $$'!$B$3:$CG$118,43,FALSE)</f>
        <v>0</v>
      </c>
      <c r="AR94" s="43">
        <f>'Est gen ed 23 $$'!AR94/'Est gen ed 23 pos'!AR$123</f>
        <v>0</v>
      </c>
      <c r="AS94" s="43">
        <f>'Est gen ed 23 $$'!AS94/'Est gen ed 23 pos'!AS$123</f>
        <v>8.9999995607579389E-2</v>
      </c>
      <c r="AT94" s="43">
        <f>'Est gen ed 23 $$'!AT94/'Est gen ed 23 pos'!AT$123</f>
        <v>0</v>
      </c>
      <c r="AU94" s="34">
        <f>VLOOKUP($A94,'[1]Init $$'!$B$3:$CG$118,47,FALSE)</f>
        <v>3583.8</v>
      </c>
      <c r="AV94" s="34">
        <f>VLOOKUP($A94,'[1]Init $$'!$B$3:$CG$118,48,FALSE)</f>
        <v>13600</v>
      </c>
      <c r="AW94" s="34">
        <f>VLOOKUP($A94,'[1]Init $$'!$B$3:$CG$118,49,FALSE)</f>
        <v>6800</v>
      </c>
      <c r="AX94" s="34">
        <f>VLOOKUP($A94,'[1]Init $$'!$B$3:$CG$118,50,FALSE)</f>
        <v>0</v>
      </c>
      <c r="AY94" s="34">
        <f>VLOOKUP($A94,'[1]Init $$'!$B$3:$CG$118,51,FALSE)</f>
        <v>0</v>
      </c>
      <c r="AZ94" s="34">
        <f>VLOOKUP($A94,'[1]Init $$'!$B$3:$CG$118,52,FALSE)</f>
        <v>20400</v>
      </c>
      <c r="BA94" s="34">
        <f>VLOOKUP($A94,'[1]Init $$'!$B$3:$CG$118,53,FALSE)</f>
        <v>10200</v>
      </c>
      <c r="BB94" s="34">
        <f>VLOOKUP($A94,'[1]Init $$'!$B$3:$CG$118,54,FALSE)</f>
        <v>13600</v>
      </c>
      <c r="BC94" s="34">
        <f>VLOOKUP($A94,'[1]Init $$'!$B$3:$CG$118,55,FALSE)</f>
        <v>143413.01</v>
      </c>
      <c r="BD94" s="34">
        <f>VLOOKUP($A94,'[1]Init $$'!$B$3:$CG$118,56,FALSE)</f>
        <v>2310.0300000000002</v>
      </c>
      <c r="BE94" s="34">
        <f>VLOOKUP($A94,'[1]Init $$'!$B$3:$CG$118,57,FALSE)</f>
        <v>0</v>
      </c>
      <c r="BF94" s="43">
        <f>'Est gen ed 23 $$'!BF94/'Est gen ed 23 pos'!BF$123</f>
        <v>0</v>
      </c>
      <c r="BG94" s="43">
        <f>'Est gen ed 23 $$'!BG94/'Est gen ed 23 pos'!BG$123</f>
        <v>0</v>
      </c>
      <c r="BH94" s="34">
        <f>VLOOKUP($A94,'[1]Init $$'!$B$3:$CG$118,60,FALSE)</f>
        <v>0</v>
      </c>
      <c r="BI94" s="34">
        <f>VLOOKUP($A94,'[1]Init $$'!$B$3:$CG$118,61,FALSE)</f>
        <v>0</v>
      </c>
      <c r="BJ94" s="34">
        <f>VLOOKUP($A94,'[1]Init $$'!$B$3:$CG$118,62,FALSE)</f>
        <v>0</v>
      </c>
      <c r="BK94" s="43">
        <f>'Est gen ed 23 $$'!BK94/'Est gen ed 23 pos'!BK$123</f>
        <v>0</v>
      </c>
      <c r="BL94" s="34">
        <f>VLOOKUP($A94,'[1]Init $$'!$B$3:$CG$118,64,FALSE)</f>
        <v>0</v>
      </c>
      <c r="BM94" s="43">
        <f>'Est gen ed 23 $$'!BM94/'Est gen ed 23 pos'!BM$123</f>
        <v>0</v>
      </c>
      <c r="BN94" s="34">
        <f>VLOOKUP($A94,'[1]Init $$'!$B$3:$CG$118,66,FALSE)</f>
        <v>0</v>
      </c>
      <c r="BO94" s="43">
        <f>'Est gen ed 23 $$'!BO94/'Est gen ed 23 pos'!BO$123</f>
        <v>0</v>
      </c>
      <c r="BP94" s="34">
        <f>VLOOKUP($A94,'[1]Init $$'!$B$3:$CG$118,68,FALSE)</f>
        <v>0</v>
      </c>
      <c r="BQ94" s="43">
        <f>'Est gen ed 23 $$'!BQ94/'Est gen ed 23 pos'!BQ$123</f>
        <v>0</v>
      </c>
      <c r="BR94" s="43">
        <f>'Est gen ed 23 $$'!BR94/'Est gen ed 23 pos'!BR$123</f>
        <v>0</v>
      </c>
      <c r="BS94" s="34">
        <f>VLOOKUP($A94,'[1]Init $$'!$B$3:$CG$118,71,FALSE)</f>
        <v>0</v>
      </c>
      <c r="BT94" s="34">
        <f>VLOOKUP($A94,'[1]Init $$'!$B$3:$CG$118,72,FALSE)</f>
        <v>0</v>
      </c>
      <c r="BU94" s="34">
        <f>VLOOKUP($A94,'[1]Init $$'!$B$3:$CG$118,73,FALSE)</f>
        <v>0</v>
      </c>
      <c r="BV94" s="34">
        <f>VLOOKUP($A94,'[1]Init $$'!$B$3:$CG$118,74,FALSE)</f>
        <v>0</v>
      </c>
      <c r="BW94" s="34">
        <f>VLOOKUP($A94,'[1]Init $$'!$B$3:$CG$118,75,FALSE)</f>
        <v>0</v>
      </c>
      <c r="BX94" s="43">
        <f>'Est gen ed 23 $$'!BX94/'Est gen ed 23 pos'!BX$123</f>
        <v>0</v>
      </c>
      <c r="BY94" s="43">
        <f>'Est gen ed 23 $$'!BY94/'Est gen ed 23 pos'!BY$123</f>
        <v>0</v>
      </c>
      <c r="BZ94" s="43">
        <f>'Est gen ed 23 $$'!BZ94/'Est gen ed 23 pos'!BZ$123</f>
        <v>0</v>
      </c>
      <c r="CA94" s="34">
        <f>VLOOKUP($A94,'[1]Init $$'!$B$3:$CG$118,79,FALSE)</f>
        <v>603563.4</v>
      </c>
      <c r="CB94" s="34">
        <f>VLOOKUP($A94,'[1]Init $$'!$B$3:$CG$118,80,FALSE)</f>
        <v>142157.4</v>
      </c>
      <c r="CC94" s="34">
        <f>VLOOKUP($A94,'[1]Init $$'!$B$3:$CG$118,81,FALSE)</f>
        <v>0</v>
      </c>
      <c r="CD94" s="34">
        <f>VLOOKUP($A94,'[1]Init $$'!$B$3:$CG$118,82,FALSE)</f>
        <v>0</v>
      </c>
      <c r="CE94" s="34">
        <f>VLOOKUP($A94,'[1]Init $$'!$B$3:$CG$118,83,FALSE)</f>
        <v>256265.06</v>
      </c>
      <c r="CF94" s="34">
        <f>VLOOKUP($A94,'[1]Init $$'!$B$3:$CG$118,84,FALSE)</f>
        <v>0</v>
      </c>
      <c r="CJ94" s="28">
        <f t="shared" si="6"/>
        <v>2781996.2399987904</v>
      </c>
      <c r="CK94" s="43">
        <f>'Est gen ed 23 $$'!CK94/'Est gen ed 23 pos'!CK$123</f>
        <v>0.99999604682144683</v>
      </c>
      <c r="CL94" s="43">
        <f>'Est gen ed 23 $$'!CL94/'Est gen ed 23 pos'!CL$123</f>
        <v>0</v>
      </c>
      <c r="CM94" s="43">
        <f>'Est gen ed 23 $$'!CM94/'Est gen ed 23 pos'!CM$123</f>
        <v>0.5</v>
      </c>
      <c r="CN94" s="43">
        <f>'Est gen ed 23 $$'!CN94/'Est gen ed 23 pos'!CN$123</f>
        <v>0</v>
      </c>
      <c r="CO94" s="43">
        <f>'Est gen ed 23 $$'!CO94/'Est gen ed 23 pos'!CO$123</f>
        <v>0</v>
      </c>
      <c r="CP94" s="43">
        <f>'Est gen ed 23 $$'!CP94/'Est gen ed 23 pos'!CP$123</f>
        <v>0</v>
      </c>
      <c r="CQ94" s="43">
        <f>'Est gen ed 23 $$'!CQ94/'Est gen ed 23 pos'!CQ$123</f>
        <v>0.99999604682144683</v>
      </c>
      <c r="CR94" s="43">
        <f>'Est gen ed 23 $$'!CR94/'Est gen ed 23 pos'!CR$123</f>
        <v>0.99999604682144683</v>
      </c>
      <c r="CS94" s="43">
        <f>'Est gen ed 23 $$'!CS94/'Est gen ed 23 pos'!CS$123</f>
        <v>1.4999940702321701</v>
      </c>
      <c r="CT94" s="43">
        <f>'Est gen ed 23 $$'!CT94/'Est gen ed 23 pos'!CT$123</f>
        <v>2</v>
      </c>
      <c r="CU94" s="43">
        <f>'Est gen ed 23 $$'!CU94/'Est gen ed 23 pos'!CU$123</f>
        <v>12.999999999999998</v>
      </c>
      <c r="CZ94" s="43">
        <f>'Est gen ed 23 $$'!CW94/'Est gen ed 23 pos'!CZ$123</f>
        <v>0</v>
      </c>
      <c r="DB94" s="28">
        <f t="shared" si="7"/>
        <v>1236411</v>
      </c>
      <c r="DC94" s="28">
        <f t="shared" si="4"/>
        <v>256265.06</v>
      </c>
      <c r="DK94" s="34"/>
      <c r="DL94" s="34"/>
    </row>
    <row r="95" spans="1:116" x14ac:dyDescent="0.2">
      <c r="A95">
        <v>409</v>
      </c>
      <c r="B95" t="s">
        <v>31</v>
      </c>
      <c r="C95" t="s">
        <v>4</v>
      </c>
      <c r="D95">
        <v>2</v>
      </c>
      <c r="E95">
        <f>VLOOKUP($A95,'[1]Init $$'!$B$3:$CG$118,4,FALSE)</f>
        <v>516</v>
      </c>
      <c r="F95">
        <f>VLOOKUP($A95,'[1]Init $$'!$B$3:$CG$118,6,FALSE)</f>
        <v>447</v>
      </c>
      <c r="G95">
        <f>VLOOKUP($A95,'[2]$$xSchpostCouncilxLevel'!$A$4:$EW$120,153,FALSE)</f>
        <v>524</v>
      </c>
      <c r="H95" s="50">
        <f t="shared" si="5"/>
        <v>-77</v>
      </c>
      <c r="I95" s="4">
        <f>VLOOKUP($A95,'[1]Init $$'!$B$3:$CG$118,8,FALSE)</f>
        <v>0.2558139534883721</v>
      </c>
      <c r="J95">
        <f>VLOOKUP($A95,'[1]Init $$'!$B$3:$CG$118,7,FALSE)</f>
        <v>132</v>
      </c>
      <c r="K95" s="43">
        <f>'Est gen ed 23 $$'!K95/'Est gen ed 23 pos'!K$123</f>
        <v>1</v>
      </c>
      <c r="L95" s="43">
        <f>'Est gen ed 23 $$'!L95/'Est gen ed 23 pos'!L$123</f>
        <v>1</v>
      </c>
      <c r="M95" s="43">
        <f>'Est gen ed 23 $$'!M95/'Est gen ed 23 pos'!M$123</f>
        <v>0</v>
      </c>
      <c r="N95" s="43">
        <f>'Est gen ed 23 $$'!N95/'Est gen ed 23 pos'!N$123</f>
        <v>1</v>
      </c>
      <c r="O95" s="34">
        <f>VLOOKUP($A95,'[1]Init $$'!$B$3:$CG$118,15,FALSE)</f>
        <v>7843.55</v>
      </c>
      <c r="P95" s="43">
        <f>'Est gen ed 23 $$'!P95/'Est gen ed 23 pos'!P$123</f>
        <v>1</v>
      </c>
      <c r="Q95" s="43">
        <f>'Est gen ed 23 $$'!Q95/'Est gen ed 23 pos'!Q$123</f>
        <v>1</v>
      </c>
      <c r="R95" s="43">
        <f>'Est gen ed 23 $$'!R95/'Est gen ed 23 pos'!R$123</f>
        <v>4.0000003907222226</v>
      </c>
      <c r="S95" s="43">
        <f>'Est gen ed 23 $$'!S95/'Est gen ed 23 pos'!S$123</f>
        <v>1</v>
      </c>
      <c r="T95" s="43">
        <f>'Est gen ed 23 $$'!T95/'Est gen ed 23 pos'!T$123</f>
        <v>1.9999999121515879</v>
      </c>
      <c r="U95" s="43">
        <f>'Est gen ed 23 $$'!U95/'Est gen ed 23 pos'!U$123</f>
        <v>1</v>
      </c>
      <c r="V95" s="43">
        <f>'Est gen ed 23 $$'!V95/'Est gen ed 23 pos'!V$123</f>
        <v>1.9999999121515879</v>
      </c>
      <c r="W95" s="43">
        <f>'Est gen ed 23 $$'!W95/'Est gen ed 23 pos'!W$123</f>
        <v>4.9999994893586166</v>
      </c>
      <c r="X95" s="34">
        <f>VLOOKUP($A95,'[1]Init $$'!$B$3:$CG$118,24,FALSE)</f>
        <v>123641.1</v>
      </c>
      <c r="Y95" s="34">
        <f>VLOOKUP($A95,'[1]Init $$'!$B$3:$CG$118,25,FALSE)</f>
        <v>0</v>
      </c>
      <c r="Z95" s="34">
        <f>VLOOKUP($A95,'[1]Init $$'!$B$3:$CG$118,26,FALSE)</f>
        <v>0</v>
      </c>
      <c r="AA95" s="34">
        <f>VLOOKUP($A95,'[1]Init $$'!$B$3:$CG$118,27,FALSE)</f>
        <v>667482.75</v>
      </c>
      <c r="AB95" s="43">
        <f>'Est gen ed 23 $$'!AB95/'Est gen ed 23 pos'!AB$123</f>
        <v>0</v>
      </c>
      <c r="AC95" s="43">
        <f>'Est gen ed 23 $$'!AC95/'Est gen ed 23 pos'!AC$123</f>
        <v>0</v>
      </c>
      <c r="AD95" s="43">
        <f>'Est gen ed 23 $$'!AD95/'Est gen ed 23 pos'!AD$123</f>
        <v>0</v>
      </c>
      <c r="AE95" s="43">
        <f>'Est gen ed 23 $$'!AE95/'Est gen ed 23 pos'!AE$123</f>
        <v>0</v>
      </c>
      <c r="AF95" s="34">
        <f>VLOOKUP($A95,'[1]Init $$'!$B$3:$CG$118,32,FALSE)</f>
        <v>2669931</v>
      </c>
      <c r="AG95" s="34">
        <f>VLOOKUP($A95,'[1]Init $$'!$B$3:$CG$118,33,FALSE)</f>
        <v>170280</v>
      </c>
      <c r="AH95" s="43">
        <f>'Est gen ed 23 $$'!AH95/'Est gen ed 23 pos'!AH$123</f>
        <v>1</v>
      </c>
      <c r="AI95" s="43">
        <f>'Est gen ed 23 $$'!AI95/'Est gen ed 23 pos'!AI$123</f>
        <v>1.9999999121515879</v>
      </c>
      <c r="AJ95" s="43">
        <f>'Est gen ed 23 $$'!AJ95/'Est gen ed 23 pos'!AJ$123</f>
        <v>4.9999998243031758</v>
      </c>
      <c r="AK95" s="43">
        <f>'Est gen ed 23 $$'!AK95/'Est gen ed 23 pos'!AK$123</f>
        <v>4.9999998243031758</v>
      </c>
      <c r="AL95" s="43">
        <f>'Est gen ed 23 $$'!AL95/'Est gen ed 23 pos'!AL$123</f>
        <v>7.999999234037924</v>
      </c>
      <c r="AM95" s="43">
        <f>'Est gen ed 23 $$'!AM95/'Est gen ed 23 pos'!AM$123</f>
        <v>0</v>
      </c>
      <c r="AN95" s="43">
        <f>'Est gen ed 23 $$'!AN95/'Est gen ed 23 pos'!AN$123</f>
        <v>0</v>
      </c>
      <c r="AO95" s="43">
        <f>'Est gen ed 23 $$'!AO95/'Est gen ed 23 pos'!AO$123</f>
        <v>1</v>
      </c>
      <c r="AP95" s="34">
        <f>VLOOKUP($A95,'[1]Init $$'!$B$3:$CG$118,42,FALSE)</f>
        <v>150519.6</v>
      </c>
      <c r="AQ95" s="34">
        <f>VLOOKUP($A95,'[1]Init $$'!$B$3:$CG$118,43,FALSE)</f>
        <v>0</v>
      </c>
      <c r="AR95" s="43">
        <f>'Est gen ed 23 $$'!AR95/'Est gen ed 23 pos'!AR$123</f>
        <v>4.9999998243031758</v>
      </c>
      <c r="AS95" s="43">
        <f>'Est gen ed 23 $$'!AS95/'Est gen ed 23 pos'!AS$123</f>
        <v>0</v>
      </c>
      <c r="AT95" s="43">
        <f>'Est gen ed 23 $$'!AT95/'Est gen ed 23 pos'!AT$123</f>
        <v>0</v>
      </c>
      <c r="AU95" s="34">
        <f>VLOOKUP($A95,'[1]Init $$'!$B$3:$CG$118,47,FALSE)</f>
        <v>179190</v>
      </c>
      <c r="AV95" s="34">
        <f>VLOOKUP($A95,'[1]Init $$'!$B$3:$CG$118,48,FALSE)</f>
        <v>0</v>
      </c>
      <c r="AW95" s="34">
        <f>VLOOKUP($A95,'[1]Init $$'!$B$3:$CG$118,49,FALSE)</f>
        <v>0</v>
      </c>
      <c r="AX95" s="34">
        <f>VLOOKUP($A95,'[1]Init $$'!$B$3:$CG$118,50,FALSE)</f>
        <v>0</v>
      </c>
      <c r="AY95" s="34">
        <f>VLOOKUP($A95,'[1]Init $$'!$B$3:$CG$118,51,FALSE)</f>
        <v>0</v>
      </c>
      <c r="AZ95" s="34">
        <f>VLOOKUP($A95,'[1]Init $$'!$B$3:$CG$118,52,FALSE)</f>
        <v>0</v>
      </c>
      <c r="BA95" s="34">
        <f>VLOOKUP($A95,'[1]Init $$'!$B$3:$CG$118,53,FALSE)</f>
        <v>0</v>
      </c>
      <c r="BB95" s="34">
        <f>VLOOKUP($A95,'[1]Init $$'!$B$3:$CG$118,54,FALSE)</f>
        <v>0</v>
      </c>
      <c r="BC95" s="34">
        <f>VLOOKUP($A95,'[1]Init $$'!$B$3:$CG$118,55,FALSE)</f>
        <v>0</v>
      </c>
      <c r="BD95" s="34">
        <f>VLOOKUP($A95,'[1]Init $$'!$B$3:$CG$118,56,FALSE)</f>
        <v>0</v>
      </c>
      <c r="BE95" s="34">
        <f>VLOOKUP($A95,'[1]Init $$'!$B$3:$CG$118,57,FALSE)</f>
        <v>12900</v>
      </c>
      <c r="BF95" s="43">
        <f>'Est gen ed 23 $$'!BF95/'Est gen ed 23 pos'!BF$123</f>
        <v>0</v>
      </c>
      <c r="BG95" s="43">
        <f>'Est gen ed 23 $$'!BG95/'Est gen ed 23 pos'!BG$123</f>
        <v>0</v>
      </c>
      <c r="BH95" s="34">
        <f>VLOOKUP($A95,'[1]Init $$'!$B$3:$CG$118,60,FALSE)</f>
        <v>0</v>
      </c>
      <c r="BI95" s="34">
        <f>VLOOKUP($A95,'[1]Init $$'!$B$3:$CG$118,61,FALSE)</f>
        <v>0</v>
      </c>
      <c r="BJ95" s="34">
        <f>VLOOKUP($A95,'[1]Init $$'!$B$3:$CG$118,62,FALSE)</f>
        <v>0</v>
      </c>
      <c r="BK95" s="43">
        <f>'Est gen ed 23 $$'!BK95/'Est gen ed 23 pos'!BK$123</f>
        <v>0</v>
      </c>
      <c r="BL95" s="34">
        <f>VLOOKUP($A95,'[1]Init $$'!$B$3:$CG$118,64,FALSE)</f>
        <v>0</v>
      </c>
      <c r="BM95" s="43">
        <f>'Est gen ed 23 $$'!BM95/'Est gen ed 23 pos'!BM$123</f>
        <v>0</v>
      </c>
      <c r="BN95" s="34">
        <f>VLOOKUP($A95,'[1]Init $$'!$B$3:$CG$118,66,FALSE)</f>
        <v>0</v>
      </c>
      <c r="BO95" s="43">
        <f>'Est gen ed 23 $$'!BO95/'Est gen ed 23 pos'!BO$123</f>
        <v>0</v>
      </c>
      <c r="BP95" s="34">
        <f>VLOOKUP($A95,'[1]Init $$'!$B$3:$CG$118,68,FALSE)</f>
        <v>0</v>
      </c>
      <c r="BQ95" s="43">
        <f>'Est gen ed 23 $$'!BQ95/'Est gen ed 23 pos'!BQ$123</f>
        <v>0</v>
      </c>
      <c r="BR95" s="43">
        <f>'Est gen ed 23 $$'!BR95/'Est gen ed 23 pos'!BR$123</f>
        <v>0</v>
      </c>
      <c r="BS95" s="34">
        <f>VLOOKUP($A95,'[1]Init $$'!$B$3:$CG$118,71,FALSE)</f>
        <v>0</v>
      </c>
      <c r="BT95" s="34">
        <f>VLOOKUP($A95,'[1]Init $$'!$B$3:$CG$118,72,FALSE)</f>
        <v>0</v>
      </c>
      <c r="BU95" s="34">
        <f>VLOOKUP($A95,'[1]Init $$'!$B$3:$CG$118,73,FALSE)</f>
        <v>15325</v>
      </c>
      <c r="BV95" s="34">
        <f>VLOOKUP($A95,'[1]Init $$'!$B$3:$CG$118,74,FALSE)</f>
        <v>0</v>
      </c>
      <c r="BW95" s="34">
        <f>VLOOKUP($A95,'[1]Init $$'!$B$3:$CG$118,75,FALSE)</f>
        <v>0</v>
      </c>
      <c r="BX95" s="43">
        <f>'Est gen ed 23 $$'!BX95/'Est gen ed 23 pos'!BX$123</f>
        <v>0</v>
      </c>
      <c r="BY95" s="43">
        <f>'Est gen ed 23 $$'!BY95/'Est gen ed 23 pos'!BY$123</f>
        <v>0</v>
      </c>
      <c r="BZ95" s="43">
        <f>'Est gen ed 23 $$'!BZ95/'Est gen ed 23 pos'!BZ$123</f>
        <v>0</v>
      </c>
      <c r="CA95" s="34">
        <f>VLOOKUP($A95,'[1]Init $$'!$B$3:$CG$118,79,FALSE)</f>
        <v>354090.53</v>
      </c>
      <c r="CB95" s="34">
        <f>VLOOKUP($A95,'[1]Init $$'!$B$3:$CG$118,80,FALSE)</f>
        <v>0</v>
      </c>
      <c r="CC95" s="34">
        <f>VLOOKUP($A95,'[1]Init $$'!$B$3:$CG$118,81,FALSE)</f>
        <v>96551.15</v>
      </c>
      <c r="CD95" s="34">
        <f>VLOOKUP($A95,'[1]Init $$'!$B$3:$CG$118,82,FALSE)</f>
        <v>185313.84</v>
      </c>
      <c r="CE95" s="34">
        <f>VLOOKUP($A95,'[1]Init $$'!$B$3:$CG$118,83,FALSE)</f>
        <v>0</v>
      </c>
      <c r="CF95" s="34">
        <f>VLOOKUP($A95,'[1]Init $$'!$B$3:$CG$118,84,FALSE)</f>
        <v>0</v>
      </c>
      <c r="CJ95" s="28">
        <f t="shared" si="6"/>
        <v>4633115.5199983241</v>
      </c>
      <c r="CK95" s="43">
        <f>'Est gen ed 23 $$'!CK95/'Est gen ed 23 pos'!CK$123</f>
        <v>0.99999604682144683</v>
      </c>
      <c r="CL95" s="43">
        <f>'Est gen ed 23 $$'!CL95/'Est gen ed 23 pos'!CL$123</f>
        <v>1.29</v>
      </c>
      <c r="CM95" s="43">
        <f>'Est gen ed 23 $$'!CM95/'Est gen ed 23 pos'!CM$123</f>
        <v>1</v>
      </c>
      <c r="CN95" s="43">
        <f>'Est gen ed 23 $$'!CN95/'Est gen ed 23 pos'!CN$123</f>
        <v>0.77519379844961245</v>
      </c>
      <c r="CO95" s="43">
        <f>'Est gen ed 23 $$'!CO95/'Est gen ed 23 pos'!CO$123</f>
        <v>0</v>
      </c>
      <c r="CP95" s="43">
        <f>'Est gen ed 23 $$'!CP95/'Est gen ed 23 pos'!CP$123</f>
        <v>0</v>
      </c>
      <c r="CQ95" s="43">
        <f>'Est gen ed 23 $$'!CQ95/'Est gen ed 23 pos'!CQ$123</f>
        <v>1</v>
      </c>
      <c r="CR95" s="43">
        <f>'Est gen ed 23 $$'!CR95/'Est gen ed 23 pos'!CR$123</f>
        <v>1</v>
      </c>
      <c r="CS95" s="43">
        <f>'Est gen ed 23 $$'!CS95/'Est gen ed 23 pos'!CS$123</f>
        <v>1</v>
      </c>
      <c r="CT95" s="43">
        <f>'Est gen ed 23 $$'!CT95/'Est gen ed 23 pos'!CT$123</f>
        <v>2</v>
      </c>
      <c r="CU95" s="43">
        <f>'Est gen ed 23 $$'!CU95/'Est gen ed 23 pos'!CU$123</f>
        <v>24</v>
      </c>
      <c r="CZ95" s="43">
        <f>'Est gen ed 23 $$'!CW95/'Est gen ed 23 pos'!CZ$123</f>
        <v>0</v>
      </c>
      <c r="DB95" s="28">
        <f t="shared" si="7"/>
        <v>3337413.75</v>
      </c>
      <c r="DC95" s="28">
        <f t="shared" si="4"/>
        <v>281864.99</v>
      </c>
      <c r="DK95" s="34"/>
      <c r="DL95" s="34"/>
    </row>
    <row r="96" spans="1:116" x14ac:dyDescent="0.2">
      <c r="A96">
        <v>466</v>
      </c>
      <c r="B96" t="s">
        <v>30</v>
      </c>
      <c r="C96" t="s">
        <v>1</v>
      </c>
      <c r="D96">
        <v>2</v>
      </c>
      <c r="E96">
        <f>VLOOKUP($A96,'[1]Init $$'!$B$3:$CG$118,4,FALSE)</f>
        <v>600</v>
      </c>
      <c r="F96">
        <f>VLOOKUP($A96,'[1]Init $$'!$B$3:$CG$118,6,FALSE)</f>
        <v>600</v>
      </c>
      <c r="G96">
        <f>VLOOKUP($A96,'[2]$$xSchpostCouncilxLevel'!$A$4:$EW$120,153,FALSE)</f>
        <v>600</v>
      </c>
      <c r="H96" s="50">
        <f t="shared" si="5"/>
        <v>0</v>
      </c>
      <c r="I96" s="4">
        <f>VLOOKUP($A96,'[1]Init $$'!$B$3:$CG$118,8,FALSE)</f>
        <v>0.16833333333333333</v>
      </c>
      <c r="J96">
        <f>VLOOKUP($A96,'[1]Init $$'!$B$3:$CG$118,7,FALSE)</f>
        <v>101</v>
      </c>
      <c r="K96" s="43">
        <f>'Est gen ed 23 $$'!K96/'Est gen ed 23 pos'!K$123</f>
        <v>1</v>
      </c>
      <c r="L96" s="43">
        <f>'Est gen ed 23 $$'!L96/'Est gen ed 23 pos'!L$123</f>
        <v>0</v>
      </c>
      <c r="M96" s="43">
        <f>'Est gen ed 23 $$'!M96/'Est gen ed 23 pos'!M$123</f>
        <v>2.4999986762701969</v>
      </c>
      <c r="N96" s="43">
        <f>'Est gen ed 23 $$'!N96/'Est gen ed 23 pos'!N$123</f>
        <v>1</v>
      </c>
      <c r="O96" s="34">
        <f>VLOOKUP($A96,'[1]Init $$'!$B$3:$CG$118,15,FALSE)</f>
        <v>5977.49</v>
      </c>
      <c r="P96" s="43">
        <f>'Est gen ed 23 $$'!P96/'Est gen ed 23 pos'!P$123</f>
        <v>1</v>
      </c>
      <c r="Q96" s="43">
        <f>'Est gen ed 23 $$'!Q96/'Est gen ed 23 pos'!Q$123</f>
        <v>1</v>
      </c>
      <c r="R96" s="43">
        <f>'Est gen ed 23 $$'!R96/'Est gen ed 23 pos'!R$123</f>
        <v>3.0000001953611113</v>
      </c>
      <c r="S96" s="43">
        <f>'Est gen ed 23 $$'!S96/'Est gen ed 23 pos'!S$123</f>
        <v>1</v>
      </c>
      <c r="T96" s="43">
        <f>'Est gen ed 23 $$'!T96/'Est gen ed 23 pos'!T$123</f>
        <v>0</v>
      </c>
      <c r="U96" s="43">
        <f>'Est gen ed 23 $$'!U96/'Est gen ed 23 pos'!U$123</f>
        <v>0</v>
      </c>
      <c r="V96" s="43">
        <f>'Est gen ed 23 $$'!V96/'Est gen ed 23 pos'!V$123</f>
        <v>0</v>
      </c>
      <c r="W96" s="43">
        <f>'Est gen ed 23 $$'!W96/'Est gen ed 23 pos'!W$123</f>
        <v>0</v>
      </c>
      <c r="X96" s="34">
        <f>VLOOKUP($A96,'[1]Init $$'!$B$3:$CG$118,24,FALSE)</f>
        <v>0</v>
      </c>
      <c r="Y96" s="34">
        <f>VLOOKUP($A96,'[1]Init $$'!$B$3:$CG$118,25,FALSE)</f>
        <v>0</v>
      </c>
      <c r="Z96" s="34">
        <f>VLOOKUP($A96,'[1]Init $$'!$B$3:$CG$118,26,FALSE)</f>
        <v>0</v>
      </c>
      <c r="AA96" s="34">
        <f>VLOOKUP($A96,'[1]Init $$'!$B$3:$CG$118,27,FALSE)</f>
        <v>0</v>
      </c>
      <c r="AB96" s="43">
        <f>'Est gen ed 23 $$'!AB96/'Est gen ed 23 pos'!AB$123</f>
        <v>0</v>
      </c>
      <c r="AC96" s="43">
        <f>'Est gen ed 23 $$'!AC96/'Est gen ed 23 pos'!AC$123</f>
        <v>0</v>
      </c>
      <c r="AD96" s="43">
        <f>'Est gen ed 23 $$'!AD96/'Est gen ed 23 pos'!AD$123</f>
        <v>0</v>
      </c>
      <c r="AE96" s="43">
        <f>'Est gen ed 23 $$'!AE96/'Est gen ed 23 pos'!AE$123</f>
        <v>0</v>
      </c>
      <c r="AF96" s="34">
        <f>VLOOKUP($A96,'[1]Init $$'!$B$3:$CG$118,32,FALSE)</f>
        <v>3583800</v>
      </c>
      <c r="AG96" s="34">
        <f>VLOOKUP($A96,'[1]Init $$'!$B$3:$CG$118,33,FALSE)</f>
        <v>355800</v>
      </c>
      <c r="AH96" s="43">
        <f>'Est gen ed 23 $$'!AH96/'Est gen ed 23 pos'!AH$123</f>
        <v>1</v>
      </c>
      <c r="AI96" s="43">
        <f>'Est gen ed 23 $$'!AI96/'Est gen ed 23 pos'!AI$123</f>
        <v>1.9999999121515879</v>
      </c>
      <c r="AJ96" s="43">
        <f>'Est gen ed 23 $$'!AJ96/'Est gen ed 23 pos'!AJ$123</f>
        <v>1</v>
      </c>
      <c r="AK96" s="43">
        <f>'Est gen ed 23 $$'!AK96/'Est gen ed 23 pos'!AK$123</f>
        <v>0</v>
      </c>
      <c r="AL96" s="43">
        <f>'Est gen ed 23 $$'!AL96/'Est gen ed 23 pos'!AL$123</f>
        <v>0</v>
      </c>
      <c r="AM96" s="43">
        <f>'Est gen ed 23 $$'!AM96/'Est gen ed 23 pos'!AM$123</f>
        <v>0</v>
      </c>
      <c r="AN96" s="43">
        <f>'Est gen ed 23 $$'!AN96/'Est gen ed 23 pos'!AN$123</f>
        <v>0</v>
      </c>
      <c r="AO96" s="43">
        <f>'Est gen ed 23 $$'!AO96/'Est gen ed 23 pos'!AO$123</f>
        <v>0</v>
      </c>
      <c r="AP96" s="34">
        <f>VLOOKUP($A96,'[1]Init $$'!$B$3:$CG$118,42,FALSE)</f>
        <v>12543.3</v>
      </c>
      <c r="AQ96" s="34">
        <f>VLOOKUP($A96,'[1]Init $$'!$B$3:$CG$118,43,FALSE)</f>
        <v>0</v>
      </c>
      <c r="AR96" s="43">
        <f>'Est gen ed 23 $$'!AR96/'Est gen ed 23 pos'!AR$123</f>
        <v>0</v>
      </c>
      <c r="AS96" s="43">
        <f>'Est gen ed 23 $$'!AS96/'Est gen ed 23 pos'!AS$123</f>
        <v>8.9999995607579389E-2</v>
      </c>
      <c r="AT96" s="43">
        <f>'Est gen ed 23 $$'!AT96/'Est gen ed 23 pos'!AT$123</f>
        <v>0</v>
      </c>
      <c r="AU96" s="34">
        <f>VLOOKUP($A96,'[1]Init $$'!$B$3:$CG$118,47,FALSE)</f>
        <v>3583.8</v>
      </c>
      <c r="AV96" s="34">
        <f>VLOOKUP($A96,'[1]Init $$'!$B$3:$CG$118,48,FALSE)</f>
        <v>0</v>
      </c>
      <c r="AW96" s="34">
        <f>VLOOKUP($A96,'[1]Init $$'!$B$3:$CG$118,49,FALSE)</f>
        <v>0</v>
      </c>
      <c r="AX96" s="34">
        <f>VLOOKUP($A96,'[1]Init $$'!$B$3:$CG$118,50,FALSE)</f>
        <v>0</v>
      </c>
      <c r="AY96" s="34">
        <f>VLOOKUP($A96,'[1]Init $$'!$B$3:$CG$118,51,FALSE)</f>
        <v>0</v>
      </c>
      <c r="AZ96" s="34">
        <f>VLOOKUP($A96,'[1]Init $$'!$B$3:$CG$118,52,FALSE)</f>
        <v>0</v>
      </c>
      <c r="BA96" s="34">
        <f>VLOOKUP($A96,'[1]Init $$'!$B$3:$CG$118,53,FALSE)</f>
        <v>0</v>
      </c>
      <c r="BB96" s="34">
        <f>VLOOKUP($A96,'[1]Init $$'!$B$3:$CG$118,54,FALSE)</f>
        <v>0</v>
      </c>
      <c r="BC96" s="34">
        <f>VLOOKUP($A96,'[1]Init $$'!$B$3:$CG$118,55,FALSE)</f>
        <v>0</v>
      </c>
      <c r="BD96" s="34">
        <f>VLOOKUP($A96,'[1]Init $$'!$B$3:$CG$118,56,FALSE)</f>
        <v>0</v>
      </c>
      <c r="BE96" s="34">
        <f>VLOOKUP($A96,'[1]Init $$'!$B$3:$CG$118,57,FALSE)</f>
        <v>15000</v>
      </c>
      <c r="BF96" s="43">
        <f>'Est gen ed 23 $$'!BF96/'Est gen ed 23 pos'!BF$123</f>
        <v>0</v>
      </c>
      <c r="BG96" s="43">
        <f>'Est gen ed 23 $$'!BG96/'Est gen ed 23 pos'!BG$123</f>
        <v>0</v>
      </c>
      <c r="BH96" s="34">
        <f>VLOOKUP($A96,'[1]Init $$'!$B$3:$CG$118,60,FALSE)</f>
        <v>0</v>
      </c>
      <c r="BI96" s="34">
        <f>VLOOKUP($A96,'[1]Init $$'!$B$3:$CG$118,61,FALSE)</f>
        <v>0</v>
      </c>
      <c r="BJ96" s="34">
        <f>VLOOKUP($A96,'[1]Init $$'!$B$3:$CG$118,62,FALSE)</f>
        <v>0</v>
      </c>
      <c r="BK96" s="43">
        <f>'Est gen ed 23 $$'!BK96/'Est gen ed 23 pos'!BK$123</f>
        <v>0</v>
      </c>
      <c r="BL96" s="34">
        <f>VLOOKUP($A96,'[1]Init $$'!$B$3:$CG$118,64,FALSE)</f>
        <v>0</v>
      </c>
      <c r="BM96" s="43">
        <f>'Est gen ed 23 $$'!BM96/'Est gen ed 23 pos'!BM$123</f>
        <v>0</v>
      </c>
      <c r="BN96" s="34">
        <f>VLOOKUP($A96,'[1]Init $$'!$B$3:$CG$118,66,FALSE)</f>
        <v>0</v>
      </c>
      <c r="BO96" s="43">
        <f>'Est gen ed 23 $$'!BO96/'Est gen ed 23 pos'!BO$123</f>
        <v>0</v>
      </c>
      <c r="BP96" s="34">
        <f>VLOOKUP($A96,'[1]Init $$'!$B$3:$CG$118,68,FALSE)</f>
        <v>0</v>
      </c>
      <c r="BQ96" s="43">
        <f>'Est gen ed 23 $$'!BQ96/'Est gen ed 23 pos'!BQ$123</f>
        <v>0</v>
      </c>
      <c r="BR96" s="43">
        <f>'Est gen ed 23 $$'!BR96/'Est gen ed 23 pos'!BR$123</f>
        <v>0</v>
      </c>
      <c r="BS96" s="34">
        <f>VLOOKUP($A96,'[1]Init $$'!$B$3:$CG$118,71,FALSE)</f>
        <v>0</v>
      </c>
      <c r="BT96" s="34">
        <f>VLOOKUP($A96,'[1]Init $$'!$B$3:$CG$118,72,FALSE)</f>
        <v>0</v>
      </c>
      <c r="BU96" s="34">
        <f>VLOOKUP($A96,'[1]Init $$'!$B$3:$CG$118,73,FALSE)</f>
        <v>0</v>
      </c>
      <c r="BV96" s="34">
        <f>VLOOKUP($A96,'[1]Init $$'!$B$3:$CG$118,74,FALSE)</f>
        <v>519436</v>
      </c>
      <c r="BW96" s="34">
        <f>VLOOKUP($A96,'[1]Init $$'!$B$3:$CG$118,75,FALSE)</f>
        <v>0</v>
      </c>
      <c r="BX96" s="43">
        <f>'Est gen ed 23 $$'!BX96/'Est gen ed 23 pos'!BX$123</f>
        <v>0</v>
      </c>
      <c r="BY96" s="43">
        <f>'Est gen ed 23 $$'!BY96/'Est gen ed 23 pos'!BY$123</f>
        <v>0</v>
      </c>
      <c r="BZ96" s="43">
        <f>'Est gen ed 23 $$'!BZ96/'Est gen ed 23 pos'!BZ$123</f>
        <v>0</v>
      </c>
      <c r="CA96" s="34">
        <f>VLOOKUP($A96,'[1]Init $$'!$B$3:$CG$118,79,FALSE)</f>
        <v>291051.68</v>
      </c>
      <c r="CB96" s="34">
        <f>VLOOKUP($A96,'[1]Init $$'!$B$3:$CG$118,80,FALSE)</f>
        <v>0</v>
      </c>
      <c r="CC96" s="34">
        <f>VLOOKUP($A96,'[1]Init $$'!$B$3:$CG$118,81,FALSE)</f>
        <v>0</v>
      </c>
      <c r="CD96" s="34">
        <f>VLOOKUP($A96,'[1]Init $$'!$B$3:$CG$118,82,FALSE)</f>
        <v>297984.01</v>
      </c>
      <c r="CE96" s="34">
        <f>VLOOKUP($A96,'[1]Init $$'!$B$3:$CG$118,83,FALSE)</f>
        <v>0</v>
      </c>
      <c r="CF96" s="34">
        <f>VLOOKUP($A96,'[1]Init $$'!$B$3:$CG$118,84,FALSE)</f>
        <v>0</v>
      </c>
      <c r="CJ96" s="28">
        <f t="shared" si="6"/>
        <v>5085190.8699987782</v>
      </c>
      <c r="CK96" s="43">
        <f>'Est gen ed 23 $$'!CK96/'Est gen ed 23 pos'!CK$123</f>
        <v>0.99999604682144683</v>
      </c>
      <c r="CL96" s="43">
        <f>'Est gen ed 23 $$'!CL96/'Est gen ed 23 pos'!CL$123</f>
        <v>2</v>
      </c>
      <c r="CM96" s="43">
        <f>'Est gen ed 23 $$'!CM96/'Est gen ed 23 pos'!CM$123</f>
        <v>1</v>
      </c>
      <c r="CN96" s="43">
        <f>'Est gen ed 23 $$'!CN96/'Est gen ed 23 pos'!CN$123</f>
        <v>0.66666666666666663</v>
      </c>
      <c r="CO96" s="43">
        <f>'Est gen ed 23 $$'!CO96/'Est gen ed 23 pos'!CO$123</f>
        <v>1</v>
      </c>
      <c r="CP96" s="43">
        <f>'Est gen ed 23 $$'!CP96/'Est gen ed 23 pos'!CP$123</f>
        <v>1</v>
      </c>
      <c r="CQ96" s="43">
        <f>'Est gen ed 23 $$'!CQ96/'Est gen ed 23 pos'!CQ$123</f>
        <v>0</v>
      </c>
      <c r="CR96" s="43">
        <f>'Est gen ed 23 $$'!CR96/'Est gen ed 23 pos'!CR$123</f>
        <v>0</v>
      </c>
      <c r="CS96" s="43">
        <f>'Est gen ed 23 $$'!CS96/'Est gen ed 23 pos'!CS$123</f>
        <v>0</v>
      </c>
      <c r="CT96" s="43">
        <f>'Est gen ed 23 $$'!CT96/'Est gen ed 23 pos'!CT$123</f>
        <v>0</v>
      </c>
      <c r="CU96" s="43">
        <f>'Est gen ed 23 $$'!CU96/'Est gen ed 23 pos'!CU$123</f>
        <v>36</v>
      </c>
      <c r="CZ96" s="43">
        <f>'Est gen ed 23 $$'!CW96/'Est gen ed 23 pos'!CZ$123</f>
        <v>0.9999965685612755</v>
      </c>
      <c r="DB96" s="28">
        <f t="shared" si="7"/>
        <v>4103236</v>
      </c>
      <c r="DC96" s="28">
        <f t="shared" si="4"/>
        <v>297984.01</v>
      </c>
      <c r="DK96" s="34"/>
      <c r="DL96" s="34"/>
    </row>
    <row r="97" spans="1:116" x14ac:dyDescent="0.2">
      <c r="A97">
        <v>943</v>
      </c>
      <c r="B97" t="s">
        <v>29</v>
      </c>
      <c r="C97" t="s">
        <v>7</v>
      </c>
      <c r="D97">
        <v>6</v>
      </c>
      <c r="E97">
        <f>VLOOKUP($A97,'[1]Init $$'!$B$3:$CG$118,4,FALSE)</f>
        <v>318</v>
      </c>
      <c r="F97">
        <f>VLOOKUP($A97,'[1]Init $$'!$B$3:$CG$118,6,FALSE)</f>
        <v>248</v>
      </c>
      <c r="G97">
        <f>VLOOKUP($A97,'[2]$$xSchpostCouncilxLevel'!$A$4:$EW$120,153,FALSE)</f>
        <v>239</v>
      </c>
      <c r="H97" s="50">
        <f t="shared" si="5"/>
        <v>9</v>
      </c>
      <c r="I97" s="4">
        <f>VLOOKUP($A97,'[1]Init $$'!$B$3:$CG$118,8,FALSE)</f>
        <v>9.4339622641509441E-2</v>
      </c>
      <c r="J97">
        <f>VLOOKUP($A97,'[1]Init $$'!$B$3:$CG$118,7,FALSE)</f>
        <v>30</v>
      </c>
      <c r="K97" s="43">
        <f>'Est gen ed 23 $$'!K97/'Est gen ed 23 pos'!K$123</f>
        <v>1</v>
      </c>
      <c r="L97" s="43">
        <f>'Est gen ed 23 $$'!L97/'Est gen ed 23 pos'!L$123</f>
        <v>0</v>
      </c>
      <c r="M97" s="43">
        <f>'Est gen ed 23 $$'!M97/'Est gen ed 23 pos'!M$123</f>
        <v>0</v>
      </c>
      <c r="N97" s="43">
        <f>'Est gen ed 23 $$'!N97/'Est gen ed 23 pos'!N$123</f>
        <v>1</v>
      </c>
      <c r="O97" s="34">
        <f>VLOOKUP($A97,'[1]Init $$'!$B$3:$CG$118,15,FALSE)</f>
        <v>5416</v>
      </c>
      <c r="P97" s="43">
        <f>'Est gen ed 23 $$'!P97/'Est gen ed 23 pos'!P$123</f>
        <v>1</v>
      </c>
      <c r="Q97" s="43">
        <f>'Est gen ed 23 $$'!Q97/'Est gen ed 23 pos'!Q$123</f>
        <v>1</v>
      </c>
      <c r="R97" s="43">
        <f>'Est gen ed 23 $$'!R97/'Est gen ed 23 pos'!R$123</f>
        <v>2.0000001953611113</v>
      </c>
      <c r="S97" s="43">
        <f>'Est gen ed 23 $$'!S97/'Est gen ed 23 pos'!S$123</f>
        <v>1</v>
      </c>
      <c r="T97" s="43">
        <f>'Est gen ed 23 $$'!T97/'Est gen ed 23 pos'!T$123</f>
        <v>1.9999999121515879</v>
      </c>
      <c r="U97" s="43">
        <f>'Est gen ed 23 $$'!U97/'Est gen ed 23 pos'!U$123</f>
        <v>0</v>
      </c>
      <c r="V97" s="43">
        <f>'Est gen ed 23 $$'!V97/'Est gen ed 23 pos'!V$123</f>
        <v>1.9999999121515879</v>
      </c>
      <c r="W97" s="43">
        <f>'Est gen ed 23 $$'!W97/'Est gen ed 23 pos'!W$123</f>
        <v>3.9999997446793079</v>
      </c>
      <c r="X97" s="34">
        <f>VLOOKUP($A97,'[1]Init $$'!$B$3:$CG$118,24,FALSE)</f>
        <v>125433</v>
      </c>
      <c r="Y97" s="34">
        <f>VLOOKUP($A97,'[1]Init $$'!$B$3:$CG$118,25,FALSE)</f>
        <v>0</v>
      </c>
      <c r="Z97" s="34">
        <f>VLOOKUP($A97,'[1]Init $$'!$B$3:$CG$118,26,FALSE)</f>
        <v>0</v>
      </c>
      <c r="AA97" s="34">
        <f>VLOOKUP($A97,'[1]Init $$'!$B$3:$CG$118,27,FALSE)</f>
        <v>0</v>
      </c>
      <c r="AB97" s="43">
        <f>'Est gen ed 23 $$'!AB97/'Est gen ed 23 pos'!AB$123</f>
        <v>0</v>
      </c>
      <c r="AC97" s="43">
        <f>'Est gen ed 23 $$'!AC97/'Est gen ed 23 pos'!AC$123</f>
        <v>0</v>
      </c>
      <c r="AD97" s="43">
        <f>'Est gen ed 23 $$'!AD97/'Est gen ed 23 pos'!AD$123</f>
        <v>0</v>
      </c>
      <c r="AE97" s="43">
        <f>'Est gen ed 23 $$'!AE97/'Est gen ed 23 pos'!AE$123</f>
        <v>0</v>
      </c>
      <c r="AF97" s="34">
        <f>VLOOKUP($A97,'[1]Init $$'!$B$3:$CG$118,32,FALSE)</f>
        <v>1481304</v>
      </c>
      <c r="AG97" s="34">
        <f>VLOOKUP($A97,'[1]Init $$'!$B$3:$CG$118,33,FALSE)</f>
        <v>103350</v>
      </c>
      <c r="AH97" s="43">
        <f>'Est gen ed 23 $$'!AH97/'Est gen ed 23 pos'!AH$123</f>
        <v>1</v>
      </c>
      <c r="AI97" s="43">
        <f>'Est gen ed 23 $$'!AI97/'Est gen ed 23 pos'!AI$123</f>
        <v>1.4999999560757939</v>
      </c>
      <c r="AJ97" s="43">
        <f>'Est gen ed 23 $$'!AJ97/'Est gen ed 23 pos'!AJ$123</f>
        <v>2.9999999121515879</v>
      </c>
      <c r="AK97" s="43">
        <f>'Est gen ed 23 $$'!AK97/'Est gen ed 23 pos'!AK$123</f>
        <v>4.9999998243031758</v>
      </c>
      <c r="AL97" s="43">
        <f>'Est gen ed 23 $$'!AL97/'Est gen ed 23 pos'!AL$123</f>
        <v>9.9999992340379258</v>
      </c>
      <c r="AM97" s="43">
        <f>'Est gen ed 23 $$'!AM97/'Est gen ed 23 pos'!AM$123</f>
        <v>0</v>
      </c>
      <c r="AN97" s="43">
        <f>'Est gen ed 23 $$'!AN97/'Est gen ed 23 pos'!AN$123</f>
        <v>0</v>
      </c>
      <c r="AO97" s="43">
        <f>'Est gen ed 23 $$'!AO97/'Est gen ed 23 pos'!AO$123</f>
        <v>0</v>
      </c>
      <c r="AP97" s="34">
        <f>VLOOKUP($A97,'[1]Init $$'!$B$3:$CG$118,42,FALSE)</f>
        <v>130808.7</v>
      </c>
      <c r="AQ97" s="34">
        <f>VLOOKUP($A97,'[1]Init $$'!$B$3:$CG$118,43,FALSE)</f>
        <v>0</v>
      </c>
      <c r="AR97" s="43">
        <f>'Est gen ed 23 $$'!AR97/'Est gen ed 23 pos'!AR$123</f>
        <v>0</v>
      </c>
      <c r="AS97" s="43">
        <f>'Est gen ed 23 $$'!AS97/'Est gen ed 23 pos'!AS$123</f>
        <v>0.17999999121515878</v>
      </c>
      <c r="AT97" s="43">
        <f>'Est gen ed 23 $$'!AT97/'Est gen ed 23 pos'!AT$123</f>
        <v>0</v>
      </c>
      <c r="AU97" s="34">
        <f>VLOOKUP($A97,'[1]Init $$'!$B$3:$CG$118,47,FALSE)</f>
        <v>7167.6</v>
      </c>
      <c r="AV97" s="34">
        <f>VLOOKUP($A97,'[1]Init $$'!$B$3:$CG$118,48,FALSE)</f>
        <v>0</v>
      </c>
      <c r="AW97" s="34">
        <f>VLOOKUP($A97,'[1]Init $$'!$B$3:$CG$118,49,FALSE)</f>
        <v>0</v>
      </c>
      <c r="AX97" s="34">
        <f>VLOOKUP($A97,'[1]Init $$'!$B$3:$CG$118,50,FALSE)</f>
        <v>0</v>
      </c>
      <c r="AY97" s="34">
        <f>VLOOKUP($A97,'[1]Init $$'!$B$3:$CG$118,51,FALSE)</f>
        <v>0</v>
      </c>
      <c r="AZ97" s="34">
        <f>VLOOKUP($A97,'[1]Init $$'!$B$3:$CG$118,52,FALSE)</f>
        <v>0</v>
      </c>
      <c r="BA97" s="34">
        <f>VLOOKUP($A97,'[1]Init $$'!$B$3:$CG$118,53,FALSE)</f>
        <v>0</v>
      </c>
      <c r="BB97" s="34">
        <f>VLOOKUP($A97,'[1]Init $$'!$B$3:$CG$118,54,FALSE)</f>
        <v>0</v>
      </c>
      <c r="BC97" s="34">
        <f>VLOOKUP($A97,'[1]Init $$'!$B$3:$CG$118,55,FALSE)</f>
        <v>0</v>
      </c>
      <c r="BD97" s="34">
        <f>VLOOKUP($A97,'[1]Init $$'!$B$3:$CG$118,56,FALSE)</f>
        <v>0</v>
      </c>
      <c r="BE97" s="34">
        <f>VLOOKUP($A97,'[1]Init $$'!$B$3:$CG$118,57,FALSE)</f>
        <v>7950</v>
      </c>
      <c r="BF97" s="43">
        <f>'Est gen ed 23 $$'!BF97/'Est gen ed 23 pos'!BF$123</f>
        <v>0</v>
      </c>
      <c r="BG97" s="43">
        <f>'Est gen ed 23 $$'!BG97/'Est gen ed 23 pos'!BG$123</f>
        <v>0</v>
      </c>
      <c r="BH97" s="34">
        <f>VLOOKUP($A97,'[1]Init $$'!$B$3:$CG$118,60,FALSE)</f>
        <v>0</v>
      </c>
      <c r="BI97" s="34">
        <f>VLOOKUP($A97,'[1]Init $$'!$B$3:$CG$118,61,FALSE)</f>
        <v>0</v>
      </c>
      <c r="BJ97" s="34">
        <f>VLOOKUP($A97,'[1]Init $$'!$B$3:$CG$118,62,FALSE)</f>
        <v>0</v>
      </c>
      <c r="BK97" s="43">
        <f>'Est gen ed 23 $$'!BK97/'Est gen ed 23 pos'!BK$123</f>
        <v>0</v>
      </c>
      <c r="BL97" s="34">
        <f>VLOOKUP($A97,'[1]Init $$'!$B$3:$CG$118,64,FALSE)</f>
        <v>0</v>
      </c>
      <c r="BM97" s="43">
        <f>'Est gen ed 23 $$'!BM97/'Est gen ed 23 pos'!BM$123</f>
        <v>0</v>
      </c>
      <c r="BN97" s="34">
        <f>VLOOKUP($A97,'[1]Init $$'!$B$3:$CG$118,66,FALSE)</f>
        <v>0</v>
      </c>
      <c r="BO97" s="43">
        <f>'Est gen ed 23 $$'!BO97/'Est gen ed 23 pos'!BO$123</f>
        <v>0</v>
      </c>
      <c r="BP97" s="34">
        <f>VLOOKUP($A97,'[1]Init $$'!$B$3:$CG$118,68,FALSE)</f>
        <v>0</v>
      </c>
      <c r="BQ97" s="43">
        <f>'Est gen ed 23 $$'!BQ97/'Est gen ed 23 pos'!BQ$123</f>
        <v>0</v>
      </c>
      <c r="BR97" s="43">
        <f>'Est gen ed 23 $$'!BR97/'Est gen ed 23 pos'!BR$123</f>
        <v>0</v>
      </c>
      <c r="BS97" s="34">
        <f>VLOOKUP($A97,'[1]Init $$'!$B$3:$CG$118,71,FALSE)</f>
        <v>0</v>
      </c>
      <c r="BT97" s="34">
        <f>VLOOKUP($A97,'[1]Init $$'!$B$3:$CG$118,72,FALSE)</f>
        <v>0</v>
      </c>
      <c r="BU97" s="34">
        <f>VLOOKUP($A97,'[1]Init $$'!$B$3:$CG$118,73,FALSE)</f>
        <v>0</v>
      </c>
      <c r="BV97" s="34">
        <f>VLOOKUP($A97,'[1]Init $$'!$B$3:$CG$118,74,FALSE)</f>
        <v>0</v>
      </c>
      <c r="BW97" s="34">
        <f>VLOOKUP($A97,'[1]Init $$'!$B$3:$CG$118,75,FALSE)</f>
        <v>0</v>
      </c>
      <c r="BX97" s="43">
        <f>'Est gen ed 23 $$'!BX97/'Est gen ed 23 pos'!BX$123</f>
        <v>0</v>
      </c>
      <c r="BY97" s="43">
        <f>'Est gen ed 23 $$'!BY97/'Est gen ed 23 pos'!BY$123</f>
        <v>0</v>
      </c>
      <c r="BZ97" s="43">
        <f>'Est gen ed 23 $$'!BZ97/'Est gen ed 23 pos'!BZ$123</f>
        <v>0</v>
      </c>
      <c r="CA97" s="34">
        <f>VLOOKUP($A97,'[1]Init $$'!$B$3:$CG$118,79,FALSE)</f>
        <v>80475.12</v>
      </c>
      <c r="CB97" s="34">
        <f>VLOOKUP($A97,'[1]Init $$'!$B$3:$CG$118,80,FALSE)</f>
        <v>0</v>
      </c>
      <c r="CC97" s="34">
        <f>VLOOKUP($A97,'[1]Init $$'!$B$3:$CG$118,81,FALSE)</f>
        <v>265849.77</v>
      </c>
      <c r="CD97" s="34">
        <f>VLOOKUP($A97,'[1]Init $$'!$B$3:$CG$118,82,FALSE)</f>
        <v>125004.86</v>
      </c>
      <c r="CE97" s="34">
        <f>VLOOKUP($A97,'[1]Init $$'!$B$3:$CG$118,83,FALSE)</f>
        <v>16402.310000000001</v>
      </c>
      <c r="CF97" s="34">
        <f>VLOOKUP($A97,'[1]Init $$'!$B$3:$CG$118,84,FALSE)</f>
        <v>247255.08</v>
      </c>
      <c r="CJ97" s="28">
        <f t="shared" si="6"/>
        <v>2596452.1199986823</v>
      </c>
      <c r="CK97" s="43">
        <f>'Est gen ed 23 $$'!CK97/'Est gen ed 23 pos'!CK$123</f>
        <v>0.99999604682144683</v>
      </c>
      <c r="CL97" s="43">
        <f>'Est gen ed 23 $$'!CL97/'Est gen ed 23 pos'!CL$123</f>
        <v>0.79500000000000004</v>
      </c>
      <c r="CM97" s="43">
        <f>'Est gen ed 23 $$'!CM97/'Est gen ed 23 pos'!CM$123</f>
        <v>1</v>
      </c>
      <c r="CN97" s="43">
        <f>'Est gen ed 23 $$'!CN97/'Est gen ed 23 pos'!CN$123</f>
        <v>0</v>
      </c>
      <c r="CO97" s="43">
        <f>'Est gen ed 23 $$'!CO97/'Est gen ed 23 pos'!CO$123</f>
        <v>0</v>
      </c>
      <c r="CP97" s="43">
        <f>'Est gen ed 23 $$'!CP97/'Est gen ed 23 pos'!CP$123</f>
        <v>0</v>
      </c>
      <c r="CQ97" s="43">
        <f>'Est gen ed 23 $$'!CQ97/'Est gen ed 23 pos'!CQ$123</f>
        <v>0.99999604682144683</v>
      </c>
      <c r="CR97" s="43">
        <f>'Est gen ed 23 $$'!CR97/'Est gen ed 23 pos'!CR$123</f>
        <v>0.99999604682144683</v>
      </c>
      <c r="CS97" s="43">
        <f>'Est gen ed 23 $$'!CS97/'Est gen ed 23 pos'!CS$123</f>
        <v>1.4999940702321701</v>
      </c>
      <c r="CT97" s="43">
        <f>'Est gen ed 23 $$'!CT97/'Est gen ed 23 pos'!CT$123</f>
        <v>2</v>
      </c>
      <c r="CU97" s="43">
        <f>'Est gen ed 23 $$'!CU97/'Est gen ed 23 pos'!CU$123</f>
        <v>15</v>
      </c>
      <c r="CZ97" s="43">
        <f>'Est gen ed 23 $$'!CW97/'Est gen ed 23 pos'!CZ$123</f>
        <v>0</v>
      </c>
      <c r="DB97" s="28">
        <f t="shared" si="7"/>
        <v>1481304</v>
      </c>
      <c r="DC97" s="28">
        <f t="shared" si="4"/>
        <v>654512.02</v>
      </c>
      <c r="DK97" s="34"/>
      <c r="DL97" s="34"/>
    </row>
    <row r="98" spans="1:116" x14ac:dyDescent="0.2">
      <c r="A98">
        <v>309</v>
      </c>
      <c r="B98" t="s">
        <v>28</v>
      </c>
      <c r="C98" t="s">
        <v>7</v>
      </c>
      <c r="D98">
        <v>6</v>
      </c>
      <c r="E98">
        <f>VLOOKUP($A98,'[1]Init $$'!$B$3:$CG$118,4,FALSE)</f>
        <v>345</v>
      </c>
      <c r="F98">
        <f>VLOOKUP($A98,'[1]Init $$'!$B$3:$CG$118,6,FALSE)</f>
        <v>250</v>
      </c>
      <c r="G98">
        <f>VLOOKUP($A98,'[2]$$xSchpostCouncilxLevel'!$A$4:$EW$120,153,FALSE)</f>
        <v>269</v>
      </c>
      <c r="H98" s="50">
        <f t="shared" si="5"/>
        <v>-19</v>
      </c>
      <c r="I98" s="4">
        <f>VLOOKUP($A98,'[1]Init $$'!$B$3:$CG$118,8,FALSE)</f>
        <v>0.38550724637681161</v>
      </c>
      <c r="J98">
        <f>VLOOKUP($A98,'[1]Init $$'!$B$3:$CG$118,7,FALSE)</f>
        <v>133</v>
      </c>
      <c r="K98" s="43">
        <f>'Est gen ed 23 $$'!K98/'Est gen ed 23 pos'!K$123</f>
        <v>1</v>
      </c>
      <c r="L98" s="43">
        <f>'Est gen ed 23 $$'!L98/'Est gen ed 23 pos'!L$123</f>
        <v>0</v>
      </c>
      <c r="M98" s="43">
        <f>'Est gen ed 23 $$'!M98/'Est gen ed 23 pos'!M$123</f>
        <v>0</v>
      </c>
      <c r="N98" s="43">
        <f>'Est gen ed 23 $$'!N98/'Est gen ed 23 pos'!N$123</f>
        <v>1</v>
      </c>
      <c r="O98" s="34">
        <f>VLOOKUP($A98,'[1]Init $$'!$B$3:$CG$118,15,FALSE)</f>
        <v>5688.15</v>
      </c>
      <c r="P98" s="43">
        <f>'Est gen ed 23 $$'!P98/'Est gen ed 23 pos'!P$123</f>
        <v>1</v>
      </c>
      <c r="Q98" s="43">
        <f>'Est gen ed 23 $$'!Q98/'Est gen ed 23 pos'!Q$123</f>
        <v>1</v>
      </c>
      <c r="R98" s="43">
        <f>'Est gen ed 23 $$'!R98/'Est gen ed 23 pos'!R$123</f>
        <v>2.0000001953611113</v>
      </c>
      <c r="S98" s="43">
        <f>'Est gen ed 23 $$'!S98/'Est gen ed 23 pos'!S$123</f>
        <v>1</v>
      </c>
      <c r="T98" s="43">
        <f>'Est gen ed 23 $$'!T98/'Est gen ed 23 pos'!T$123</f>
        <v>2.9999999121515879</v>
      </c>
      <c r="U98" s="43">
        <f>'Est gen ed 23 $$'!U98/'Est gen ed 23 pos'!U$123</f>
        <v>0</v>
      </c>
      <c r="V98" s="43">
        <f>'Est gen ed 23 $$'!V98/'Est gen ed 23 pos'!V$123</f>
        <v>2.9999999121515879</v>
      </c>
      <c r="W98" s="43">
        <f>'Est gen ed 23 $$'!W98/'Est gen ed 23 pos'!W$123</f>
        <v>5.9999994893586166</v>
      </c>
      <c r="X98" s="34">
        <f>VLOOKUP($A98,'[1]Init $$'!$B$3:$CG$118,24,FALSE)</f>
        <v>170230.5</v>
      </c>
      <c r="Y98" s="34">
        <f>VLOOKUP($A98,'[1]Init $$'!$B$3:$CG$118,25,FALSE)</f>
        <v>0</v>
      </c>
      <c r="Z98" s="34">
        <f>VLOOKUP($A98,'[1]Init $$'!$B$3:$CG$118,26,FALSE)</f>
        <v>0</v>
      </c>
      <c r="AA98" s="34">
        <f>VLOOKUP($A98,'[1]Init $$'!$B$3:$CG$118,27,FALSE)</f>
        <v>0</v>
      </c>
      <c r="AB98" s="43">
        <f>'Est gen ed 23 $$'!AB98/'Est gen ed 23 pos'!AB$123</f>
        <v>0</v>
      </c>
      <c r="AC98" s="43">
        <f>'Est gen ed 23 $$'!AC98/'Est gen ed 23 pos'!AC$123</f>
        <v>0</v>
      </c>
      <c r="AD98" s="43">
        <f>'Est gen ed 23 $$'!AD98/'Est gen ed 23 pos'!AD$123</f>
        <v>0</v>
      </c>
      <c r="AE98" s="43">
        <f>'Est gen ed 23 $$'!AE98/'Est gen ed 23 pos'!AE$123</f>
        <v>0</v>
      </c>
      <c r="AF98" s="34">
        <f>VLOOKUP($A98,'[1]Init $$'!$B$3:$CG$118,32,FALSE)</f>
        <v>1493250</v>
      </c>
      <c r="AG98" s="34">
        <f>VLOOKUP($A98,'[1]Init $$'!$B$3:$CG$118,33,FALSE)</f>
        <v>112125</v>
      </c>
      <c r="AH98" s="43">
        <f>'Est gen ed 23 $$'!AH98/'Est gen ed 23 pos'!AH$123</f>
        <v>1</v>
      </c>
      <c r="AI98" s="43">
        <f>'Est gen ed 23 $$'!AI98/'Est gen ed 23 pos'!AI$123</f>
        <v>1.9999999121515879</v>
      </c>
      <c r="AJ98" s="43">
        <f>'Est gen ed 23 $$'!AJ98/'Est gen ed 23 pos'!AJ$123</f>
        <v>2.9999999121515879</v>
      </c>
      <c r="AK98" s="43">
        <f>'Est gen ed 23 $$'!AK98/'Est gen ed 23 pos'!AK$123</f>
        <v>3.9999998243031758</v>
      </c>
      <c r="AL98" s="43">
        <f>'Est gen ed 23 $$'!AL98/'Est gen ed 23 pos'!AL$123</f>
        <v>7.999999234037924</v>
      </c>
      <c r="AM98" s="43">
        <f>'Est gen ed 23 $$'!AM98/'Est gen ed 23 pos'!AM$123</f>
        <v>0</v>
      </c>
      <c r="AN98" s="43">
        <f>'Est gen ed 23 $$'!AN98/'Est gen ed 23 pos'!AN$123</f>
        <v>0</v>
      </c>
      <c r="AO98" s="43">
        <f>'Est gen ed 23 $$'!AO98/'Est gen ed 23 pos'!AO$123</f>
        <v>1</v>
      </c>
      <c r="AP98" s="34">
        <f>VLOOKUP($A98,'[1]Init $$'!$B$3:$CG$118,42,FALSE)</f>
        <v>129016.8</v>
      </c>
      <c r="AQ98" s="34">
        <f>VLOOKUP($A98,'[1]Init $$'!$B$3:$CG$118,43,FALSE)</f>
        <v>0</v>
      </c>
      <c r="AR98" s="43">
        <f>'Est gen ed 23 $$'!AR98/'Est gen ed 23 pos'!AR$123</f>
        <v>5.9999998243031758</v>
      </c>
      <c r="AS98" s="43">
        <f>'Est gen ed 23 $$'!AS98/'Est gen ed 23 pos'!AS$123</f>
        <v>0</v>
      </c>
      <c r="AT98" s="43">
        <f>'Est gen ed 23 $$'!AT98/'Est gen ed 23 pos'!AT$123</f>
        <v>1</v>
      </c>
      <c r="AU98" s="34">
        <f>VLOOKUP($A98,'[1]Init $$'!$B$3:$CG$118,47,FALSE)</f>
        <v>218611.8</v>
      </c>
      <c r="AV98" s="34">
        <f>VLOOKUP($A98,'[1]Init $$'!$B$3:$CG$118,48,FALSE)</f>
        <v>27200</v>
      </c>
      <c r="AW98" s="34">
        <f>VLOOKUP($A98,'[1]Init $$'!$B$3:$CG$118,49,FALSE)</f>
        <v>20400</v>
      </c>
      <c r="AX98" s="34">
        <f>VLOOKUP($A98,'[1]Init $$'!$B$3:$CG$118,50,FALSE)</f>
        <v>10200</v>
      </c>
      <c r="AY98" s="34">
        <f>VLOOKUP($A98,'[1]Init $$'!$B$3:$CG$118,51,FALSE)</f>
        <v>0</v>
      </c>
      <c r="AZ98" s="34">
        <f>VLOOKUP($A98,'[1]Init $$'!$B$3:$CG$118,52,FALSE)</f>
        <v>27200</v>
      </c>
      <c r="BA98" s="34">
        <f>VLOOKUP($A98,'[1]Init $$'!$B$3:$CG$118,53,FALSE)</f>
        <v>0</v>
      </c>
      <c r="BB98" s="34">
        <f>VLOOKUP($A98,'[1]Init $$'!$B$3:$CG$118,54,FALSE)</f>
        <v>20400</v>
      </c>
      <c r="BC98" s="34">
        <f>VLOOKUP($A98,'[1]Init $$'!$B$3:$CG$118,55,FALSE)</f>
        <v>93516.11</v>
      </c>
      <c r="BD98" s="34">
        <f>VLOOKUP($A98,'[1]Init $$'!$B$3:$CG$118,56,FALSE)</f>
        <v>1506.31</v>
      </c>
      <c r="BE98" s="34">
        <f>VLOOKUP($A98,'[1]Init $$'!$B$3:$CG$118,57,FALSE)</f>
        <v>0</v>
      </c>
      <c r="BF98" s="43">
        <f>'Est gen ed 23 $$'!BF98/'Est gen ed 23 pos'!BF$123</f>
        <v>0</v>
      </c>
      <c r="BG98" s="43">
        <f>'Est gen ed 23 $$'!BG98/'Est gen ed 23 pos'!BG$123</f>
        <v>0</v>
      </c>
      <c r="BH98" s="34">
        <f>VLOOKUP($A98,'[1]Init $$'!$B$3:$CG$118,60,FALSE)</f>
        <v>0</v>
      </c>
      <c r="BI98" s="34">
        <f>VLOOKUP($A98,'[1]Init $$'!$B$3:$CG$118,61,FALSE)</f>
        <v>0</v>
      </c>
      <c r="BJ98" s="34">
        <f>VLOOKUP($A98,'[1]Init $$'!$B$3:$CG$118,62,FALSE)</f>
        <v>0</v>
      </c>
      <c r="BK98" s="43">
        <f>'Est gen ed 23 $$'!BK98/'Est gen ed 23 pos'!BK$123</f>
        <v>0</v>
      </c>
      <c r="BL98" s="34">
        <f>VLOOKUP($A98,'[1]Init $$'!$B$3:$CG$118,64,FALSE)</f>
        <v>0</v>
      </c>
      <c r="BM98" s="43">
        <f>'Est gen ed 23 $$'!BM98/'Est gen ed 23 pos'!BM$123</f>
        <v>0</v>
      </c>
      <c r="BN98" s="34">
        <f>VLOOKUP($A98,'[1]Init $$'!$B$3:$CG$118,66,FALSE)</f>
        <v>0</v>
      </c>
      <c r="BO98" s="43">
        <f>'Est gen ed 23 $$'!BO98/'Est gen ed 23 pos'!BO$123</f>
        <v>0</v>
      </c>
      <c r="BP98" s="34">
        <f>VLOOKUP($A98,'[1]Init $$'!$B$3:$CG$118,68,FALSE)</f>
        <v>0</v>
      </c>
      <c r="BQ98" s="43">
        <f>'Est gen ed 23 $$'!BQ98/'Est gen ed 23 pos'!BQ$123</f>
        <v>0</v>
      </c>
      <c r="BR98" s="43">
        <f>'Est gen ed 23 $$'!BR98/'Est gen ed 23 pos'!BR$123</f>
        <v>0</v>
      </c>
      <c r="BS98" s="34">
        <f>VLOOKUP($A98,'[1]Init $$'!$B$3:$CG$118,71,FALSE)</f>
        <v>0</v>
      </c>
      <c r="BT98" s="34">
        <f>VLOOKUP($A98,'[1]Init $$'!$B$3:$CG$118,72,FALSE)</f>
        <v>0</v>
      </c>
      <c r="BU98" s="34">
        <f>VLOOKUP($A98,'[1]Init $$'!$B$3:$CG$118,73,FALSE)</f>
        <v>15325</v>
      </c>
      <c r="BV98" s="34">
        <f>VLOOKUP($A98,'[1]Init $$'!$B$3:$CG$118,74,FALSE)</f>
        <v>0</v>
      </c>
      <c r="BW98" s="34">
        <f>VLOOKUP($A98,'[1]Init $$'!$B$3:$CG$118,75,FALSE)</f>
        <v>0</v>
      </c>
      <c r="BX98" s="43">
        <f>'Est gen ed 23 $$'!BX98/'Est gen ed 23 pos'!BX$123</f>
        <v>0</v>
      </c>
      <c r="BY98" s="43">
        <f>'Est gen ed 23 $$'!BY98/'Est gen ed 23 pos'!BY$123</f>
        <v>0</v>
      </c>
      <c r="BZ98" s="43">
        <f>'Est gen ed 23 $$'!BZ98/'Est gen ed 23 pos'!BZ$123</f>
        <v>0</v>
      </c>
      <c r="CA98" s="34">
        <f>VLOOKUP($A98,'[1]Init $$'!$B$3:$CG$118,79,FALSE)</f>
        <v>356773.03</v>
      </c>
      <c r="CB98" s="34">
        <f>VLOOKUP($A98,'[1]Init $$'!$B$3:$CG$118,80,FALSE)</f>
        <v>0</v>
      </c>
      <c r="CC98" s="34">
        <f>VLOOKUP($A98,'[1]Init $$'!$B$3:$CG$118,81,FALSE)</f>
        <v>331685.31</v>
      </c>
      <c r="CD98" s="34">
        <f>VLOOKUP($A98,'[1]Init $$'!$B$3:$CG$118,82,FALSE)</f>
        <v>180636.32</v>
      </c>
      <c r="CE98" s="34">
        <f>VLOOKUP($A98,'[1]Init $$'!$B$3:$CG$118,83,FALSE)</f>
        <v>0</v>
      </c>
      <c r="CF98" s="34">
        <f>VLOOKUP($A98,'[1]Init $$'!$B$3:$CG$118,84,FALSE)</f>
        <v>0</v>
      </c>
      <c r="CJ98" s="28">
        <f t="shared" si="6"/>
        <v>3213809.3299982157</v>
      </c>
      <c r="CK98" s="43">
        <f>'Est gen ed 23 $$'!CK98/'Est gen ed 23 pos'!CK$123</f>
        <v>0.99999604682144683</v>
      </c>
      <c r="CL98" s="43">
        <f>'Est gen ed 23 $$'!CL98/'Est gen ed 23 pos'!CL$123</f>
        <v>0.86250000000000004</v>
      </c>
      <c r="CM98" s="43">
        <f>'Est gen ed 23 $$'!CM98/'Est gen ed 23 pos'!CM$123</f>
        <v>1</v>
      </c>
      <c r="CN98" s="43">
        <f>'Est gen ed 23 $$'!CN98/'Est gen ed 23 pos'!CN$123</f>
        <v>0</v>
      </c>
      <c r="CO98" s="43">
        <f>'Est gen ed 23 $$'!CO98/'Est gen ed 23 pos'!CO$123</f>
        <v>0</v>
      </c>
      <c r="CP98" s="43">
        <f>'Est gen ed 23 $$'!CP98/'Est gen ed 23 pos'!CP$123</f>
        <v>0</v>
      </c>
      <c r="CQ98" s="43">
        <f>'Est gen ed 23 $$'!CQ98/'Est gen ed 23 pos'!CQ$123</f>
        <v>0.99999604682144683</v>
      </c>
      <c r="CR98" s="43">
        <f>'Est gen ed 23 $$'!CR98/'Est gen ed 23 pos'!CR$123</f>
        <v>0.99999604682144683</v>
      </c>
      <c r="CS98" s="43">
        <f>'Est gen ed 23 $$'!CS98/'Est gen ed 23 pos'!CS$123</f>
        <v>1.4999940702321701</v>
      </c>
      <c r="CT98" s="43">
        <f>'Est gen ed 23 $$'!CT98/'Est gen ed 23 pos'!CT$123</f>
        <v>3</v>
      </c>
      <c r="CU98" s="43">
        <f>'Est gen ed 23 $$'!CU98/'Est gen ed 23 pos'!CU$123</f>
        <v>14</v>
      </c>
      <c r="CZ98" s="43">
        <f>'Est gen ed 23 $$'!CW98/'Est gen ed 23 pos'!CZ$123</f>
        <v>0</v>
      </c>
      <c r="DB98" s="28">
        <f t="shared" si="7"/>
        <v>1493250</v>
      </c>
      <c r="DC98" s="28">
        <f t="shared" si="4"/>
        <v>512321.63</v>
      </c>
      <c r="DK98" s="34"/>
      <c r="DL98" s="34"/>
    </row>
    <row r="99" spans="1:116" x14ac:dyDescent="0.2">
      <c r="A99">
        <v>313</v>
      </c>
      <c r="B99" t="s">
        <v>27</v>
      </c>
      <c r="C99" t="s">
        <v>7</v>
      </c>
      <c r="D99">
        <v>4</v>
      </c>
      <c r="E99">
        <f>VLOOKUP($A99,'[1]Init $$'!$B$3:$CG$118,4,FALSE)</f>
        <v>359</v>
      </c>
      <c r="F99">
        <f>VLOOKUP($A99,'[1]Init $$'!$B$3:$CG$118,6,FALSE)</f>
        <v>289</v>
      </c>
      <c r="G99">
        <f>VLOOKUP($A99,'[2]$$xSchpostCouncilxLevel'!$A$4:$EW$120,153,FALSE)</f>
        <v>300</v>
      </c>
      <c r="H99" s="50">
        <f t="shared" si="5"/>
        <v>-11</v>
      </c>
      <c r="I99" s="4">
        <f>VLOOKUP($A99,'[1]Init $$'!$B$3:$CG$118,8,FALSE)</f>
        <v>9.7493036211699163E-2</v>
      </c>
      <c r="J99">
        <f>VLOOKUP($A99,'[1]Init $$'!$B$3:$CG$118,7,FALSE)</f>
        <v>35</v>
      </c>
      <c r="K99" s="43">
        <f>'Est gen ed 23 $$'!K99/'Est gen ed 23 pos'!K$123</f>
        <v>1</v>
      </c>
      <c r="L99" s="43">
        <f>'Est gen ed 23 $$'!L99/'Est gen ed 23 pos'!L$123</f>
        <v>0</v>
      </c>
      <c r="M99" s="43">
        <f>'Est gen ed 23 $$'!M99/'Est gen ed 23 pos'!M$123</f>
        <v>0</v>
      </c>
      <c r="N99" s="43">
        <f>'Est gen ed 23 $$'!N99/'Est gen ed 23 pos'!N$123</f>
        <v>1</v>
      </c>
      <c r="O99" s="34">
        <f>VLOOKUP($A99,'[1]Init $$'!$B$3:$CG$118,15,FALSE)</f>
        <v>5951.05</v>
      </c>
      <c r="P99" s="43">
        <f>'Est gen ed 23 $$'!P99/'Est gen ed 23 pos'!P$123</f>
        <v>1</v>
      </c>
      <c r="Q99" s="43">
        <f>'Est gen ed 23 $$'!Q99/'Est gen ed 23 pos'!Q$123</f>
        <v>1</v>
      </c>
      <c r="R99" s="43">
        <f>'Est gen ed 23 $$'!R99/'Est gen ed 23 pos'!R$123</f>
        <v>2.0000001953611113</v>
      </c>
      <c r="S99" s="43">
        <f>'Est gen ed 23 $$'!S99/'Est gen ed 23 pos'!S$123</f>
        <v>1</v>
      </c>
      <c r="T99" s="43">
        <f>'Est gen ed 23 $$'!T99/'Est gen ed 23 pos'!T$123</f>
        <v>1.9999999121515879</v>
      </c>
      <c r="U99" s="43">
        <f>'Est gen ed 23 $$'!U99/'Est gen ed 23 pos'!U$123</f>
        <v>0</v>
      </c>
      <c r="V99" s="43">
        <f>'Est gen ed 23 $$'!V99/'Est gen ed 23 pos'!V$123</f>
        <v>1.9999999121515879</v>
      </c>
      <c r="W99" s="43">
        <f>'Est gen ed 23 $$'!W99/'Est gen ed 23 pos'!W$123</f>
        <v>3.9999997446793079</v>
      </c>
      <c r="X99" s="34">
        <f>VLOOKUP($A99,'[1]Init $$'!$B$3:$CG$118,24,FALSE)</f>
        <v>125433</v>
      </c>
      <c r="Y99" s="34">
        <f>VLOOKUP($A99,'[1]Init $$'!$B$3:$CG$118,25,FALSE)</f>
        <v>0</v>
      </c>
      <c r="Z99" s="34">
        <f>VLOOKUP($A99,'[1]Init $$'!$B$3:$CG$118,26,FALSE)</f>
        <v>0</v>
      </c>
      <c r="AA99" s="34">
        <f>VLOOKUP($A99,'[1]Init $$'!$B$3:$CG$118,27,FALSE)</f>
        <v>0</v>
      </c>
      <c r="AB99" s="43">
        <f>'Est gen ed 23 $$'!AB99/'Est gen ed 23 pos'!AB$123</f>
        <v>0</v>
      </c>
      <c r="AC99" s="43">
        <f>'Est gen ed 23 $$'!AC99/'Est gen ed 23 pos'!AC$123</f>
        <v>0</v>
      </c>
      <c r="AD99" s="43">
        <f>'Est gen ed 23 $$'!AD99/'Est gen ed 23 pos'!AD$123</f>
        <v>0</v>
      </c>
      <c r="AE99" s="43">
        <f>'Est gen ed 23 $$'!AE99/'Est gen ed 23 pos'!AE$123</f>
        <v>0</v>
      </c>
      <c r="AF99" s="34">
        <f>VLOOKUP($A99,'[1]Init $$'!$B$3:$CG$118,32,FALSE)</f>
        <v>1726197</v>
      </c>
      <c r="AG99" s="34">
        <f>VLOOKUP($A99,'[1]Init $$'!$B$3:$CG$118,33,FALSE)</f>
        <v>116675</v>
      </c>
      <c r="AH99" s="43">
        <f>'Est gen ed 23 $$'!AH99/'Est gen ed 23 pos'!AH$123</f>
        <v>1</v>
      </c>
      <c r="AI99" s="43">
        <f>'Est gen ed 23 $$'!AI99/'Est gen ed 23 pos'!AI$123</f>
        <v>1</v>
      </c>
      <c r="AJ99" s="43">
        <f>'Est gen ed 23 $$'!AJ99/'Est gen ed 23 pos'!AJ$123</f>
        <v>1.9999999121515879</v>
      </c>
      <c r="AK99" s="43">
        <f>'Est gen ed 23 $$'!AK99/'Est gen ed 23 pos'!AK$123</f>
        <v>2.9999999121515879</v>
      </c>
      <c r="AL99" s="43">
        <f>'Est gen ed 23 $$'!AL99/'Est gen ed 23 pos'!AL$123</f>
        <v>5.9999994893586166</v>
      </c>
      <c r="AM99" s="43">
        <f>'Est gen ed 23 $$'!AM99/'Est gen ed 23 pos'!AM$123</f>
        <v>0</v>
      </c>
      <c r="AN99" s="43">
        <f>'Est gen ed 23 $$'!AN99/'Est gen ed 23 pos'!AN$123</f>
        <v>0</v>
      </c>
      <c r="AO99" s="43">
        <f>'Est gen ed 23 $$'!AO99/'Est gen ed 23 pos'!AO$123</f>
        <v>0</v>
      </c>
      <c r="AP99" s="34">
        <f>VLOOKUP($A99,'[1]Init $$'!$B$3:$CG$118,42,FALSE)</f>
        <v>43005.599999999999</v>
      </c>
      <c r="AQ99" s="34">
        <f>VLOOKUP($A99,'[1]Init $$'!$B$3:$CG$118,43,FALSE)</f>
        <v>0</v>
      </c>
      <c r="AR99" s="43">
        <f>'Est gen ed 23 $$'!AR99/'Est gen ed 23 pos'!AR$123</f>
        <v>1</v>
      </c>
      <c r="AS99" s="43">
        <f>'Est gen ed 23 $$'!AS99/'Est gen ed 23 pos'!AS$123</f>
        <v>0</v>
      </c>
      <c r="AT99" s="43">
        <f>'Est gen ed 23 $$'!AT99/'Est gen ed 23 pos'!AT$123</f>
        <v>0</v>
      </c>
      <c r="AU99" s="34">
        <f>VLOOKUP($A99,'[1]Init $$'!$B$3:$CG$118,47,FALSE)</f>
        <v>39421.800000000003</v>
      </c>
      <c r="AV99" s="34">
        <f>VLOOKUP($A99,'[1]Init $$'!$B$3:$CG$118,48,FALSE)</f>
        <v>0</v>
      </c>
      <c r="AW99" s="34">
        <f>VLOOKUP($A99,'[1]Init $$'!$B$3:$CG$118,49,FALSE)</f>
        <v>0</v>
      </c>
      <c r="AX99" s="34">
        <f>VLOOKUP($A99,'[1]Init $$'!$B$3:$CG$118,50,FALSE)</f>
        <v>0</v>
      </c>
      <c r="AY99" s="34">
        <f>VLOOKUP($A99,'[1]Init $$'!$B$3:$CG$118,51,FALSE)</f>
        <v>0</v>
      </c>
      <c r="AZ99" s="34">
        <f>VLOOKUP($A99,'[1]Init $$'!$B$3:$CG$118,52,FALSE)</f>
        <v>0</v>
      </c>
      <c r="BA99" s="34">
        <f>VLOOKUP($A99,'[1]Init $$'!$B$3:$CG$118,53,FALSE)</f>
        <v>0</v>
      </c>
      <c r="BB99" s="34">
        <f>VLOOKUP($A99,'[1]Init $$'!$B$3:$CG$118,54,FALSE)</f>
        <v>0</v>
      </c>
      <c r="BC99" s="34">
        <f>VLOOKUP($A99,'[1]Init $$'!$B$3:$CG$118,55,FALSE)</f>
        <v>0</v>
      </c>
      <c r="BD99" s="34">
        <f>VLOOKUP($A99,'[1]Init $$'!$B$3:$CG$118,56,FALSE)</f>
        <v>0</v>
      </c>
      <c r="BE99" s="34">
        <f>VLOOKUP($A99,'[1]Init $$'!$B$3:$CG$118,57,FALSE)</f>
        <v>8975</v>
      </c>
      <c r="BF99" s="43">
        <f>'Est gen ed 23 $$'!BF99/'Est gen ed 23 pos'!BF$123</f>
        <v>0</v>
      </c>
      <c r="BG99" s="43">
        <f>'Est gen ed 23 $$'!BG99/'Est gen ed 23 pos'!BG$123</f>
        <v>0</v>
      </c>
      <c r="BH99" s="34">
        <f>VLOOKUP($A99,'[1]Init $$'!$B$3:$CG$118,60,FALSE)</f>
        <v>0</v>
      </c>
      <c r="BI99" s="34">
        <f>VLOOKUP($A99,'[1]Init $$'!$B$3:$CG$118,61,FALSE)</f>
        <v>0</v>
      </c>
      <c r="BJ99" s="34">
        <f>VLOOKUP($A99,'[1]Init $$'!$B$3:$CG$118,62,FALSE)</f>
        <v>0</v>
      </c>
      <c r="BK99" s="43">
        <f>'Est gen ed 23 $$'!BK99/'Est gen ed 23 pos'!BK$123</f>
        <v>1</v>
      </c>
      <c r="BL99" s="34">
        <f>VLOOKUP($A99,'[1]Init $$'!$B$3:$CG$118,64,FALSE)</f>
        <v>21207</v>
      </c>
      <c r="BM99" s="43">
        <f>'Est gen ed 23 $$'!BM99/'Est gen ed 23 pos'!BM$123</f>
        <v>0</v>
      </c>
      <c r="BN99" s="34">
        <f>VLOOKUP($A99,'[1]Init $$'!$B$3:$CG$118,66,FALSE)</f>
        <v>0</v>
      </c>
      <c r="BO99" s="43">
        <f>'Est gen ed 23 $$'!BO99/'Est gen ed 23 pos'!BO$123</f>
        <v>0</v>
      </c>
      <c r="BP99" s="34">
        <f>VLOOKUP($A99,'[1]Init $$'!$B$3:$CG$118,68,FALSE)</f>
        <v>0</v>
      </c>
      <c r="BQ99" s="43">
        <f>'Est gen ed 23 $$'!BQ99/'Est gen ed 23 pos'!BQ$123</f>
        <v>0</v>
      </c>
      <c r="BR99" s="43">
        <f>'Est gen ed 23 $$'!BR99/'Est gen ed 23 pos'!BR$123</f>
        <v>0</v>
      </c>
      <c r="BS99" s="34">
        <f>VLOOKUP($A99,'[1]Init $$'!$B$3:$CG$118,71,FALSE)</f>
        <v>0</v>
      </c>
      <c r="BT99" s="34">
        <f>VLOOKUP($A99,'[1]Init $$'!$B$3:$CG$118,72,FALSE)</f>
        <v>0</v>
      </c>
      <c r="BU99" s="34">
        <f>VLOOKUP($A99,'[1]Init $$'!$B$3:$CG$118,73,FALSE)</f>
        <v>0</v>
      </c>
      <c r="BV99" s="34">
        <f>VLOOKUP($A99,'[1]Init $$'!$B$3:$CG$118,74,FALSE)</f>
        <v>0</v>
      </c>
      <c r="BW99" s="34">
        <f>VLOOKUP($A99,'[1]Init $$'!$B$3:$CG$118,75,FALSE)</f>
        <v>0</v>
      </c>
      <c r="BX99" s="43">
        <f>'Est gen ed 23 $$'!BX99/'Est gen ed 23 pos'!BX$123</f>
        <v>0</v>
      </c>
      <c r="BY99" s="43">
        <f>'Est gen ed 23 $$'!BY99/'Est gen ed 23 pos'!BY$123</f>
        <v>0</v>
      </c>
      <c r="BZ99" s="43">
        <f>'Est gen ed 23 $$'!BZ99/'Est gen ed 23 pos'!BZ$123</f>
        <v>0</v>
      </c>
      <c r="CA99" s="34">
        <f>VLOOKUP($A99,'[1]Init $$'!$B$3:$CG$118,79,FALSE)</f>
        <v>93887.64</v>
      </c>
      <c r="CB99" s="34">
        <f>VLOOKUP($A99,'[1]Init $$'!$B$3:$CG$118,80,FALSE)</f>
        <v>0</v>
      </c>
      <c r="CC99" s="34">
        <f>VLOOKUP($A99,'[1]Init $$'!$B$3:$CG$118,81,FALSE)</f>
        <v>0</v>
      </c>
      <c r="CD99" s="34">
        <f>VLOOKUP($A99,'[1]Init $$'!$B$3:$CG$118,82,FALSE)</f>
        <v>55415.31</v>
      </c>
      <c r="CE99" s="34">
        <f>VLOOKUP($A99,'[1]Init $$'!$B$3:$CG$118,83,FALSE)</f>
        <v>54723.11</v>
      </c>
      <c r="CF99" s="34">
        <f>VLOOKUP($A99,'[1]Init $$'!$B$3:$CG$118,84,FALSE)</f>
        <v>0</v>
      </c>
      <c r="CJ99" s="28">
        <f t="shared" si="6"/>
        <v>2290921.5099990782</v>
      </c>
      <c r="CK99" s="43">
        <f>'Est gen ed 23 $$'!CK99/'Est gen ed 23 pos'!CK$123</f>
        <v>0.99999604682144683</v>
      </c>
      <c r="CL99" s="43">
        <f>'Est gen ed 23 $$'!CL99/'Est gen ed 23 pos'!CL$123</f>
        <v>0.89750000000000008</v>
      </c>
      <c r="CM99" s="43">
        <f>'Est gen ed 23 $$'!CM99/'Est gen ed 23 pos'!CM$123</f>
        <v>1</v>
      </c>
      <c r="CN99" s="43">
        <f>'Est gen ed 23 $$'!CN99/'Est gen ed 23 pos'!CN$123</f>
        <v>0</v>
      </c>
      <c r="CO99" s="43">
        <f>'Est gen ed 23 $$'!CO99/'Est gen ed 23 pos'!CO$123</f>
        <v>0</v>
      </c>
      <c r="CP99" s="43">
        <f>'Est gen ed 23 $$'!CP99/'Est gen ed 23 pos'!CP$123</f>
        <v>0</v>
      </c>
      <c r="CQ99" s="43">
        <f>'Est gen ed 23 $$'!CQ99/'Est gen ed 23 pos'!CQ$123</f>
        <v>0.99999604682144683</v>
      </c>
      <c r="CR99" s="43">
        <f>'Est gen ed 23 $$'!CR99/'Est gen ed 23 pos'!CR$123</f>
        <v>0.99999604682144683</v>
      </c>
      <c r="CS99" s="43">
        <f>'Est gen ed 23 $$'!CS99/'Est gen ed 23 pos'!CS$123</f>
        <v>1.4999940702321701</v>
      </c>
      <c r="CT99" s="43">
        <f>'Est gen ed 23 $$'!CT99/'Est gen ed 23 pos'!CT$123</f>
        <v>2</v>
      </c>
      <c r="CU99" s="43">
        <f>'Est gen ed 23 $$'!CU99/'Est gen ed 23 pos'!CU$123</f>
        <v>16</v>
      </c>
      <c r="CZ99" s="43">
        <f>'Est gen ed 23 $$'!CW99/'Est gen ed 23 pos'!CZ$123</f>
        <v>0</v>
      </c>
      <c r="DB99" s="28">
        <f t="shared" si="7"/>
        <v>1726197</v>
      </c>
      <c r="DC99" s="28">
        <f t="shared" si="4"/>
        <v>110138.42</v>
      </c>
      <c r="DK99" s="34"/>
      <c r="DL99" s="34"/>
    </row>
    <row r="100" spans="1:116" x14ac:dyDescent="0.2">
      <c r="A100">
        <v>315</v>
      </c>
      <c r="B100" t="s">
        <v>26</v>
      </c>
      <c r="C100" t="s">
        <v>7</v>
      </c>
      <c r="D100">
        <v>8</v>
      </c>
      <c r="E100">
        <f>VLOOKUP($A100,'[1]Init $$'!$B$3:$CG$118,4,FALSE)</f>
        <v>229</v>
      </c>
      <c r="F100">
        <f>VLOOKUP($A100,'[1]Init $$'!$B$3:$CG$118,6,FALSE)</f>
        <v>184</v>
      </c>
      <c r="G100">
        <f>VLOOKUP($A100,'[2]$$xSchpostCouncilxLevel'!$A$4:$EW$120,153,FALSE)</f>
        <v>191</v>
      </c>
      <c r="H100" s="50">
        <f t="shared" si="5"/>
        <v>-7</v>
      </c>
      <c r="I100" s="4">
        <f>VLOOKUP($A100,'[1]Init $$'!$B$3:$CG$118,8,FALSE)</f>
        <v>0.73362445414847166</v>
      </c>
      <c r="J100">
        <f>VLOOKUP($A100,'[1]Init $$'!$B$3:$CG$118,7,FALSE)</f>
        <v>168</v>
      </c>
      <c r="K100" s="43">
        <f>'Est gen ed 23 $$'!K100/'Est gen ed 23 pos'!K$123</f>
        <v>1</v>
      </c>
      <c r="L100" s="43">
        <f>'Est gen ed 23 $$'!L100/'Est gen ed 23 pos'!L$123</f>
        <v>0</v>
      </c>
      <c r="M100" s="43">
        <f>'Est gen ed 23 $$'!M100/'Est gen ed 23 pos'!M$123</f>
        <v>0</v>
      </c>
      <c r="N100" s="43">
        <f>'Est gen ed 23 $$'!N100/'Est gen ed 23 pos'!N$123</f>
        <v>1</v>
      </c>
      <c r="O100" s="34">
        <f>VLOOKUP($A100,'[1]Init $$'!$B$3:$CG$118,15,FALSE)</f>
        <v>5764.45</v>
      </c>
      <c r="P100" s="43">
        <f>'Est gen ed 23 $$'!P100/'Est gen ed 23 pos'!P$123</f>
        <v>1</v>
      </c>
      <c r="Q100" s="43">
        <f>'Est gen ed 23 $$'!Q100/'Est gen ed 23 pos'!Q$123</f>
        <v>1</v>
      </c>
      <c r="R100" s="43">
        <f>'Est gen ed 23 $$'!R100/'Est gen ed 23 pos'!R$123</f>
        <v>1</v>
      </c>
      <c r="S100" s="43">
        <f>'Est gen ed 23 $$'!S100/'Est gen ed 23 pos'!S$123</f>
        <v>1</v>
      </c>
      <c r="T100" s="43">
        <f>'Est gen ed 23 $$'!T100/'Est gen ed 23 pos'!T$123</f>
        <v>1</v>
      </c>
      <c r="U100" s="43">
        <f>'Est gen ed 23 $$'!U100/'Est gen ed 23 pos'!U$123</f>
        <v>1</v>
      </c>
      <c r="V100" s="43">
        <f>'Est gen ed 23 $$'!V100/'Est gen ed 23 pos'!V$123</f>
        <v>1</v>
      </c>
      <c r="W100" s="43">
        <f>'Est gen ed 23 $$'!W100/'Est gen ed 23 pos'!W$123</f>
        <v>2.9999997446793083</v>
      </c>
      <c r="X100" s="34">
        <f>VLOOKUP($A100,'[1]Init $$'!$B$3:$CG$118,24,FALSE)</f>
        <v>80635.5</v>
      </c>
      <c r="Y100" s="34">
        <f>VLOOKUP($A100,'[1]Init $$'!$B$3:$CG$118,25,FALSE)</f>
        <v>0</v>
      </c>
      <c r="Z100" s="34">
        <f>VLOOKUP($A100,'[1]Init $$'!$B$3:$CG$118,26,FALSE)</f>
        <v>0</v>
      </c>
      <c r="AA100" s="34">
        <f>VLOOKUP($A100,'[1]Init $$'!$B$3:$CG$118,27,FALSE)</f>
        <v>0</v>
      </c>
      <c r="AB100" s="43">
        <f>'Est gen ed 23 $$'!AB100/'Est gen ed 23 pos'!AB$123</f>
        <v>0</v>
      </c>
      <c r="AC100" s="43">
        <f>'Est gen ed 23 $$'!AC100/'Est gen ed 23 pos'!AC$123</f>
        <v>0</v>
      </c>
      <c r="AD100" s="43">
        <f>'Est gen ed 23 $$'!AD100/'Est gen ed 23 pos'!AD$123</f>
        <v>0</v>
      </c>
      <c r="AE100" s="43">
        <f>'Est gen ed 23 $$'!AE100/'Est gen ed 23 pos'!AE$123</f>
        <v>0</v>
      </c>
      <c r="AF100" s="34">
        <f>VLOOKUP($A100,'[1]Init $$'!$B$3:$CG$118,32,FALSE)</f>
        <v>1099032</v>
      </c>
      <c r="AG100" s="34">
        <f>VLOOKUP($A100,'[1]Init $$'!$B$3:$CG$118,33,FALSE)</f>
        <v>74425</v>
      </c>
      <c r="AH100" s="43">
        <f>'Est gen ed 23 $$'!AH100/'Est gen ed 23 pos'!AH$123</f>
        <v>1</v>
      </c>
      <c r="AI100" s="43">
        <f>'Est gen ed 23 $$'!AI100/'Est gen ed 23 pos'!AI$123</f>
        <v>1</v>
      </c>
      <c r="AJ100" s="43">
        <f>'Est gen ed 23 $$'!AJ100/'Est gen ed 23 pos'!AJ$123</f>
        <v>2.9999999121515879</v>
      </c>
      <c r="AK100" s="43">
        <f>'Est gen ed 23 $$'!AK100/'Est gen ed 23 pos'!AK$123</f>
        <v>2.9999999121515879</v>
      </c>
      <c r="AL100" s="43">
        <f>'Est gen ed 23 $$'!AL100/'Est gen ed 23 pos'!AL$123</f>
        <v>5.9999994893586166</v>
      </c>
      <c r="AM100" s="43">
        <f>'Est gen ed 23 $$'!AM100/'Est gen ed 23 pos'!AM$123</f>
        <v>0</v>
      </c>
      <c r="AN100" s="43">
        <f>'Est gen ed 23 $$'!AN100/'Est gen ed 23 pos'!AN$123</f>
        <v>0</v>
      </c>
      <c r="AO100" s="43">
        <f>'Est gen ed 23 $$'!AO100/'Est gen ed 23 pos'!AO$123</f>
        <v>0</v>
      </c>
      <c r="AP100" s="34">
        <f>VLOOKUP($A100,'[1]Init $$'!$B$3:$CG$118,42,FALSE)</f>
        <v>94970.7</v>
      </c>
      <c r="AQ100" s="34">
        <f>VLOOKUP($A100,'[1]Init $$'!$B$3:$CG$118,43,FALSE)</f>
        <v>0</v>
      </c>
      <c r="AR100" s="43">
        <f>'Est gen ed 23 $$'!AR100/'Est gen ed 23 pos'!AR$123</f>
        <v>1</v>
      </c>
      <c r="AS100" s="43">
        <f>'Est gen ed 23 $$'!AS100/'Est gen ed 23 pos'!AS$123</f>
        <v>0</v>
      </c>
      <c r="AT100" s="43">
        <f>'Est gen ed 23 $$'!AT100/'Est gen ed 23 pos'!AT$123</f>
        <v>0</v>
      </c>
      <c r="AU100" s="34">
        <f>VLOOKUP($A100,'[1]Init $$'!$B$3:$CG$118,47,FALSE)</f>
        <v>30462.3</v>
      </c>
      <c r="AV100" s="34">
        <f>VLOOKUP($A100,'[1]Init $$'!$B$3:$CG$118,48,FALSE)</f>
        <v>0</v>
      </c>
      <c r="AW100" s="34">
        <f>VLOOKUP($A100,'[1]Init $$'!$B$3:$CG$118,49,FALSE)</f>
        <v>0</v>
      </c>
      <c r="AX100" s="34">
        <f>VLOOKUP($A100,'[1]Init $$'!$B$3:$CG$118,50,FALSE)</f>
        <v>0</v>
      </c>
      <c r="AY100" s="34">
        <f>VLOOKUP($A100,'[1]Init $$'!$B$3:$CG$118,51,FALSE)</f>
        <v>0</v>
      </c>
      <c r="AZ100" s="34">
        <f>VLOOKUP($A100,'[1]Init $$'!$B$3:$CG$118,52,FALSE)</f>
        <v>0</v>
      </c>
      <c r="BA100" s="34">
        <f>VLOOKUP($A100,'[1]Init $$'!$B$3:$CG$118,53,FALSE)</f>
        <v>0</v>
      </c>
      <c r="BB100" s="34">
        <f>VLOOKUP($A100,'[1]Init $$'!$B$3:$CG$118,54,FALSE)</f>
        <v>0</v>
      </c>
      <c r="BC100" s="34">
        <f>VLOOKUP($A100,'[1]Init $$'!$B$3:$CG$118,55,FALSE)</f>
        <v>123930.49</v>
      </c>
      <c r="BD100" s="34">
        <f>VLOOKUP($A100,'[1]Init $$'!$B$3:$CG$118,56,FALSE)</f>
        <v>1996.21</v>
      </c>
      <c r="BE100" s="34">
        <f>VLOOKUP($A100,'[1]Init $$'!$B$3:$CG$118,57,FALSE)</f>
        <v>0</v>
      </c>
      <c r="BF100" s="43">
        <f>'Est gen ed 23 $$'!BF100/'Est gen ed 23 pos'!BF$123</f>
        <v>0</v>
      </c>
      <c r="BG100" s="43">
        <f>'Est gen ed 23 $$'!BG100/'Est gen ed 23 pos'!BG$123</f>
        <v>0</v>
      </c>
      <c r="BH100" s="34">
        <f>VLOOKUP($A100,'[1]Init $$'!$B$3:$CG$118,60,FALSE)</f>
        <v>0</v>
      </c>
      <c r="BI100" s="34">
        <f>VLOOKUP($A100,'[1]Init $$'!$B$3:$CG$118,61,FALSE)</f>
        <v>0</v>
      </c>
      <c r="BJ100" s="34">
        <f>VLOOKUP($A100,'[1]Init $$'!$B$3:$CG$118,62,FALSE)</f>
        <v>0</v>
      </c>
      <c r="BK100" s="43">
        <f>'Est gen ed 23 $$'!BK100/'Est gen ed 23 pos'!BK$123</f>
        <v>0</v>
      </c>
      <c r="BL100" s="34">
        <f>VLOOKUP($A100,'[1]Init $$'!$B$3:$CG$118,64,FALSE)</f>
        <v>0</v>
      </c>
      <c r="BM100" s="43">
        <f>'Est gen ed 23 $$'!BM100/'Est gen ed 23 pos'!BM$123</f>
        <v>0</v>
      </c>
      <c r="BN100" s="34">
        <f>VLOOKUP($A100,'[1]Init $$'!$B$3:$CG$118,66,FALSE)</f>
        <v>0</v>
      </c>
      <c r="BO100" s="43">
        <f>'Est gen ed 23 $$'!BO100/'Est gen ed 23 pos'!BO$123</f>
        <v>0</v>
      </c>
      <c r="BP100" s="34">
        <f>VLOOKUP($A100,'[1]Init $$'!$B$3:$CG$118,68,FALSE)</f>
        <v>0</v>
      </c>
      <c r="BQ100" s="43">
        <f>'Est gen ed 23 $$'!BQ100/'Est gen ed 23 pos'!BQ$123</f>
        <v>0</v>
      </c>
      <c r="BR100" s="43">
        <f>'Est gen ed 23 $$'!BR100/'Est gen ed 23 pos'!BR$123</f>
        <v>0</v>
      </c>
      <c r="BS100" s="34">
        <f>VLOOKUP($A100,'[1]Init $$'!$B$3:$CG$118,71,FALSE)</f>
        <v>0</v>
      </c>
      <c r="BT100" s="34">
        <f>VLOOKUP($A100,'[1]Init $$'!$B$3:$CG$118,72,FALSE)</f>
        <v>0</v>
      </c>
      <c r="BU100" s="34">
        <f>VLOOKUP($A100,'[1]Init $$'!$B$3:$CG$118,73,FALSE)</f>
        <v>15325</v>
      </c>
      <c r="BV100" s="34">
        <f>VLOOKUP($A100,'[1]Init $$'!$B$3:$CG$118,74,FALSE)</f>
        <v>0</v>
      </c>
      <c r="BW100" s="34">
        <f>VLOOKUP($A100,'[1]Init $$'!$B$3:$CG$118,75,FALSE)</f>
        <v>0</v>
      </c>
      <c r="BX100" s="43">
        <f>'Est gen ed 23 $$'!BX100/'Est gen ed 23 pos'!BX$123</f>
        <v>0</v>
      </c>
      <c r="BY100" s="43">
        <f>'Est gen ed 23 $$'!BY100/'Est gen ed 23 pos'!BY$123</f>
        <v>0</v>
      </c>
      <c r="BZ100" s="43">
        <f>'Est gen ed 23 $$'!BZ100/'Est gen ed 23 pos'!BZ$123</f>
        <v>0</v>
      </c>
      <c r="CA100" s="34">
        <f>VLOOKUP($A100,'[1]Init $$'!$B$3:$CG$118,79,FALSE)</f>
        <v>450660.67</v>
      </c>
      <c r="CB100" s="34">
        <f>VLOOKUP($A100,'[1]Init $$'!$B$3:$CG$118,80,FALSE)</f>
        <v>91267.44</v>
      </c>
      <c r="CC100" s="34">
        <f>VLOOKUP($A100,'[1]Init $$'!$B$3:$CG$118,81,FALSE)</f>
        <v>0</v>
      </c>
      <c r="CD100" s="34">
        <f>VLOOKUP($A100,'[1]Init $$'!$B$3:$CG$118,82,FALSE)</f>
        <v>0</v>
      </c>
      <c r="CE100" s="34">
        <f>VLOOKUP($A100,'[1]Init $$'!$B$3:$CG$118,83,FALSE)</f>
        <v>364747.67</v>
      </c>
      <c r="CF100" s="34">
        <f>VLOOKUP($A100,'[1]Init $$'!$B$3:$CG$118,84,FALSE)</f>
        <v>0</v>
      </c>
      <c r="CJ100" s="28">
        <f t="shared" si="6"/>
        <v>2433244.4299990586</v>
      </c>
      <c r="CK100" s="43">
        <f>'Est gen ed 23 $$'!CK100/'Est gen ed 23 pos'!CK$123</f>
        <v>0.99999604682144683</v>
      </c>
      <c r="CL100" s="43">
        <f>'Est gen ed 23 $$'!CL100/'Est gen ed 23 pos'!CL$123</f>
        <v>0</v>
      </c>
      <c r="CM100" s="43">
        <f>'Est gen ed 23 $$'!CM100/'Est gen ed 23 pos'!CM$123</f>
        <v>0.5</v>
      </c>
      <c r="CN100" s="43">
        <f>'Est gen ed 23 $$'!CN100/'Est gen ed 23 pos'!CN$123</f>
        <v>0</v>
      </c>
      <c r="CO100" s="43">
        <f>'Est gen ed 23 $$'!CO100/'Est gen ed 23 pos'!CO$123</f>
        <v>0</v>
      </c>
      <c r="CP100" s="43">
        <f>'Est gen ed 23 $$'!CP100/'Est gen ed 23 pos'!CP$123</f>
        <v>0</v>
      </c>
      <c r="CQ100" s="43">
        <f>'Est gen ed 23 $$'!CQ100/'Est gen ed 23 pos'!CQ$123</f>
        <v>0.99999604682144683</v>
      </c>
      <c r="CR100" s="43">
        <f>'Est gen ed 23 $$'!CR100/'Est gen ed 23 pos'!CR$123</f>
        <v>0.99999604682144683</v>
      </c>
      <c r="CS100" s="43">
        <f>'Est gen ed 23 $$'!CS100/'Est gen ed 23 pos'!CS$123</f>
        <v>1.4999940702321701</v>
      </c>
      <c r="CT100" s="43">
        <f>'Est gen ed 23 $$'!CT100/'Est gen ed 23 pos'!CT$123</f>
        <v>1</v>
      </c>
      <c r="CU100" s="43">
        <f>'Est gen ed 23 $$'!CU100/'Est gen ed 23 pos'!CU$123</f>
        <v>11</v>
      </c>
      <c r="CZ100" s="43">
        <f>'Est gen ed 23 $$'!CW100/'Est gen ed 23 pos'!CZ$123</f>
        <v>0</v>
      </c>
      <c r="DB100" s="28">
        <f t="shared" si="7"/>
        <v>1099032</v>
      </c>
      <c r="DC100" s="28">
        <f t="shared" si="4"/>
        <v>364747.67</v>
      </c>
      <c r="DK100" s="34"/>
      <c r="DL100" s="34"/>
    </row>
    <row r="101" spans="1:116" x14ac:dyDescent="0.2">
      <c r="A101">
        <v>322</v>
      </c>
      <c r="B101" t="s">
        <v>25</v>
      </c>
      <c r="C101" t="s">
        <v>7</v>
      </c>
      <c r="D101">
        <v>7</v>
      </c>
      <c r="E101">
        <f>VLOOKUP($A101,'[1]Init $$'!$B$3:$CG$118,4,FALSE)</f>
        <v>210</v>
      </c>
      <c r="F101">
        <f>VLOOKUP($A101,'[1]Init $$'!$B$3:$CG$118,6,FALSE)</f>
        <v>157</v>
      </c>
      <c r="G101">
        <f>VLOOKUP($A101,'[2]$$xSchpostCouncilxLevel'!$A$4:$EW$120,153,FALSE)</f>
        <v>171</v>
      </c>
      <c r="H101" s="50">
        <f t="shared" si="5"/>
        <v>-14</v>
      </c>
      <c r="I101" s="4">
        <f>VLOOKUP($A101,'[1]Init $$'!$B$3:$CG$118,8,FALSE)</f>
        <v>0.74761904761904763</v>
      </c>
      <c r="J101">
        <f>VLOOKUP($A101,'[1]Init $$'!$B$3:$CG$118,7,FALSE)</f>
        <v>157</v>
      </c>
      <c r="K101" s="43">
        <f>'Est gen ed 23 $$'!K101/'Est gen ed 23 pos'!K$123</f>
        <v>1</v>
      </c>
      <c r="L101" s="43">
        <f>'Est gen ed 23 $$'!L101/'Est gen ed 23 pos'!L$123</f>
        <v>0</v>
      </c>
      <c r="M101" s="43">
        <f>'Est gen ed 23 $$'!M101/'Est gen ed 23 pos'!M$123</f>
        <v>0</v>
      </c>
      <c r="N101" s="43">
        <f>'Est gen ed 23 $$'!N101/'Est gen ed 23 pos'!N$123</f>
        <v>1</v>
      </c>
      <c r="O101" s="34">
        <f>VLOOKUP($A101,'[1]Init $$'!$B$3:$CG$118,15,FALSE)</f>
        <v>4493.3</v>
      </c>
      <c r="P101" s="43">
        <f>'Est gen ed 23 $$'!P101/'Est gen ed 23 pos'!P$123</f>
        <v>1</v>
      </c>
      <c r="Q101" s="43">
        <f>'Est gen ed 23 $$'!Q101/'Est gen ed 23 pos'!Q$123</f>
        <v>1</v>
      </c>
      <c r="R101" s="43">
        <f>'Est gen ed 23 $$'!R101/'Est gen ed 23 pos'!R$123</f>
        <v>1</v>
      </c>
      <c r="S101" s="43">
        <f>'Est gen ed 23 $$'!S101/'Est gen ed 23 pos'!S$123</f>
        <v>1</v>
      </c>
      <c r="T101" s="43">
        <f>'Est gen ed 23 $$'!T101/'Est gen ed 23 pos'!T$123</f>
        <v>1.9999999121515879</v>
      </c>
      <c r="U101" s="43">
        <f>'Est gen ed 23 $$'!U101/'Est gen ed 23 pos'!U$123</f>
        <v>0</v>
      </c>
      <c r="V101" s="43">
        <f>'Est gen ed 23 $$'!V101/'Est gen ed 23 pos'!V$123</f>
        <v>1.9999999121515879</v>
      </c>
      <c r="W101" s="43">
        <f>'Est gen ed 23 $$'!W101/'Est gen ed 23 pos'!W$123</f>
        <v>3.9999997446793079</v>
      </c>
      <c r="X101" s="34">
        <f>VLOOKUP($A101,'[1]Init $$'!$B$3:$CG$118,24,FALSE)</f>
        <v>94970.7</v>
      </c>
      <c r="Y101" s="34">
        <f>VLOOKUP($A101,'[1]Init $$'!$B$3:$CG$118,25,FALSE)</f>
        <v>0</v>
      </c>
      <c r="Z101" s="34">
        <f>VLOOKUP($A101,'[1]Init $$'!$B$3:$CG$118,26,FALSE)</f>
        <v>0</v>
      </c>
      <c r="AA101" s="34">
        <f>VLOOKUP($A101,'[1]Init $$'!$B$3:$CG$118,27,FALSE)</f>
        <v>0</v>
      </c>
      <c r="AB101" s="43">
        <f>'Est gen ed 23 $$'!AB101/'Est gen ed 23 pos'!AB$123</f>
        <v>0</v>
      </c>
      <c r="AC101" s="43">
        <f>'Est gen ed 23 $$'!AC101/'Est gen ed 23 pos'!AC$123</f>
        <v>0</v>
      </c>
      <c r="AD101" s="43">
        <f>'Est gen ed 23 $$'!AD101/'Est gen ed 23 pos'!AD$123</f>
        <v>0</v>
      </c>
      <c r="AE101" s="43">
        <f>'Est gen ed 23 $$'!AE101/'Est gen ed 23 pos'!AE$123</f>
        <v>0</v>
      </c>
      <c r="AF101" s="34">
        <f>VLOOKUP($A101,'[1]Init $$'!$B$3:$CG$118,32,FALSE)</f>
        <v>937761</v>
      </c>
      <c r="AG101" s="34">
        <f>VLOOKUP($A101,'[1]Init $$'!$B$3:$CG$118,33,FALSE)</f>
        <v>68250</v>
      </c>
      <c r="AH101" s="43">
        <f>'Est gen ed 23 $$'!AH101/'Est gen ed 23 pos'!AH$123</f>
        <v>1</v>
      </c>
      <c r="AI101" s="43">
        <f>'Est gen ed 23 $$'!AI101/'Est gen ed 23 pos'!AI$123</f>
        <v>1</v>
      </c>
      <c r="AJ101" s="43">
        <f>'Est gen ed 23 $$'!AJ101/'Est gen ed 23 pos'!AJ$123</f>
        <v>2.9999999121515879</v>
      </c>
      <c r="AK101" s="43">
        <f>'Est gen ed 23 $$'!AK101/'Est gen ed 23 pos'!AK$123</f>
        <v>3.9999998243031758</v>
      </c>
      <c r="AL101" s="43">
        <f>'Est gen ed 23 $$'!AL101/'Est gen ed 23 pos'!AL$123</f>
        <v>5.9999994893586166</v>
      </c>
      <c r="AM101" s="43">
        <f>'Est gen ed 23 $$'!AM101/'Est gen ed 23 pos'!AM$123</f>
        <v>0</v>
      </c>
      <c r="AN101" s="43">
        <f>'Est gen ed 23 $$'!AN101/'Est gen ed 23 pos'!AN$123</f>
        <v>0</v>
      </c>
      <c r="AO101" s="43">
        <f>'Est gen ed 23 $$'!AO101/'Est gen ed 23 pos'!AO$123</f>
        <v>0</v>
      </c>
      <c r="AP101" s="34">
        <f>VLOOKUP($A101,'[1]Init $$'!$B$3:$CG$118,42,FALSE)</f>
        <v>103930.2</v>
      </c>
      <c r="AQ101" s="34">
        <f>VLOOKUP($A101,'[1]Init $$'!$B$3:$CG$118,43,FALSE)</f>
        <v>0</v>
      </c>
      <c r="AR101" s="43">
        <f>'Est gen ed 23 $$'!AR101/'Est gen ed 23 pos'!AR$123</f>
        <v>1</v>
      </c>
      <c r="AS101" s="43">
        <f>'Est gen ed 23 $$'!AS101/'Est gen ed 23 pos'!AS$123</f>
        <v>0</v>
      </c>
      <c r="AT101" s="43">
        <f>'Est gen ed 23 $$'!AT101/'Est gen ed 23 pos'!AT$123</f>
        <v>0</v>
      </c>
      <c r="AU101" s="34">
        <f>VLOOKUP($A101,'[1]Init $$'!$B$3:$CG$118,47,FALSE)</f>
        <v>30462.3</v>
      </c>
      <c r="AV101" s="34">
        <f>VLOOKUP($A101,'[1]Init $$'!$B$3:$CG$118,48,FALSE)</f>
        <v>13600</v>
      </c>
      <c r="AW101" s="34">
        <f>VLOOKUP($A101,'[1]Init $$'!$B$3:$CG$118,49,FALSE)</f>
        <v>6800</v>
      </c>
      <c r="AX101" s="34">
        <f>VLOOKUP($A101,'[1]Init $$'!$B$3:$CG$118,50,FALSE)</f>
        <v>0</v>
      </c>
      <c r="AY101" s="34">
        <f>VLOOKUP($A101,'[1]Init $$'!$B$3:$CG$118,51,FALSE)</f>
        <v>0</v>
      </c>
      <c r="AZ101" s="34">
        <f>VLOOKUP($A101,'[1]Init $$'!$B$3:$CG$118,52,FALSE)</f>
        <v>20400</v>
      </c>
      <c r="BA101" s="34">
        <f>VLOOKUP($A101,'[1]Init $$'!$B$3:$CG$118,53,FALSE)</f>
        <v>10200</v>
      </c>
      <c r="BB101" s="34">
        <f>VLOOKUP($A101,'[1]Init $$'!$B$3:$CG$118,54,FALSE)</f>
        <v>13600</v>
      </c>
      <c r="BC101" s="34">
        <f>VLOOKUP($A101,'[1]Init $$'!$B$3:$CG$118,55,FALSE)</f>
        <v>113648.05</v>
      </c>
      <c r="BD101" s="34">
        <f>VLOOKUP($A101,'[1]Init $$'!$B$3:$CG$118,56,FALSE)</f>
        <v>1830.59</v>
      </c>
      <c r="BE101" s="34">
        <f>VLOOKUP($A101,'[1]Init $$'!$B$3:$CG$118,57,FALSE)</f>
        <v>0</v>
      </c>
      <c r="BF101" s="43">
        <f>'Est gen ed 23 $$'!BF101/'Est gen ed 23 pos'!BF$123</f>
        <v>0</v>
      </c>
      <c r="BG101" s="43">
        <f>'Est gen ed 23 $$'!BG101/'Est gen ed 23 pos'!BG$123</f>
        <v>0</v>
      </c>
      <c r="BH101" s="34">
        <f>VLOOKUP($A101,'[1]Init $$'!$B$3:$CG$118,60,FALSE)</f>
        <v>0</v>
      </c>
      <c r="BI101" s="34">
        <f>VLOOKUP($A101,'[1]Init $$'!$B$3:$CG$118,61,FALSE)</f>
        <v>0</v>
      </c>
      <c r="BJ101" s="34">
        <f>VLOOKUP($A101,'[1]Init $$'!$B$3:$CG$118,62,FALSE)</f>
        <v>0</v>
      </c>
      <c r="BK101" s="43">
        <f>'Est gen ed 23 $$'!BK101/'Est gen ed 23 pos'!BK$123</f>
        <v>0</v>
      </c>
      <c r="BL101" s="34">
        <f>VLOOKUP($A101,'[1]Init $$'!$B$3:$CG$118,64,FALSE)</f>
        <v>0</v>
      </c>
      <c r="BM101" s="43">
        <f>'Est gen ed 23 $$'!BM101/'Est gen ed 23 pos'!BM$123</f>
        <v>0</v>
      </c>
      <c r="BN101" s="34">
        <f>VLOOKUP($A101,'[1]Init $$'!$B$3:$CG$118,66,FALSE)</f>
        <v>0</v>
      </c>
      <c r="BO101" s="43">
        <f>'Est gen ed 23 $$'!BO101/'Est gen ed 23 pos'!BO$123</f>
        <v>0</v>
      </c>
      <c r="BP101" s="34">
        <f>VLOOKUP($A101,'[1]Init $$'!$B$3:$CG$118,68,FALSE)</f>
        <v>0</v>
      </c>
      <c r="BQ101" s="43">
        <f>'Est gen ed 23 $$'!BQ101/'Est gen ed 23 pos'!BQ$123</f>
        <v>0</v>
      </c>
      <c r="BR101" s="43">
        <f>'Est gen ed 23 $$'!BR101/'Est gen ed 23 pos'!BR$123</f>
        <v>0</v>
      </c>
      <c r="BS101" s="34">
        <f>VLOOKUP($A101,'[1]Init $$'!$B$3:$CG$118,71,FALSE)</f>
        <v>0</v>
      </c>
      <c r="BT101" s="34">
        <f>VLOOKUP($A101,'[1]Init $$'!$B$3:$CG$118,72,FALSE)</f>
        <v>0</v>
      </c>
      <c r="BU101" s="34">
        <f>VLOOKUP($A101,'[1]Init $$'!$B$3:$CG$118,73,FALSE)</f>
        <v>0</v>
      </c>
      <c r="BV101" s="34">
        <f>VLOOKUP($A101,'[1]Init $$'!$B$3:$CG$118,74,FALSE)</f>
        <v>0</v>
      </c>
      <c r="BW101" s="34">
        <f>VLOOKUP($A101,'[1]Init $$'!$B$3:$CG$118,75,FALSE)</f>
        <v>0</v>
      </c>
      <c r="BX101" s="43">
        <f>'Est gen ed 23 $$'!BX101/'Est gen ed 23 pos'!BX$123</f>
        <v>0</v>
      </c>
      <c r="BY101" s="43">
        <f>'Est gen ed 23 $$'!BY101/'Est gen ed 23 pos'!BY$123</f>
        <v>0</v>
      </c>
      <c r="BZ101" s="43">
        <f>'Est gen ed 23 $$'!BZ101/'Est gen ed 23 pos'!BZ$123</f>
        <v>0</v>
      </c>
      <c r="CA101" s="34">
        <f>VLOOKUP($A101,'[1]Init $$'!$B$3:$CG$118,79,FALSE)</f>
        <v>421153.13</v>
      </c>
      <c r="CB101" s="34">
        <f>VLOOKUP($A101,'[1]Init $$'!$B$3:$CG$118,80,FALSE)</f>
        <v>87205.8</v>
      </c>
      <c r="CC101" s="34">
        <f>VLOOKUP($A101,'[1]Init $$'!$B$3:$CG$118,81,FALSE)</f>
        <v>172260.28</v>
      </c>
      <c r="CD101" s="34">
        <f>VLOOKUP($A101,'[1]Init $$'!$B$3:$CG$118,82,FALSE)</f>
        <v>80363.899999999994</v>
      </c>
      <c r="CE101" s="34">
        <f>VLOOKUP($A101,'[1]Init $$'!$B$3:$CG$118,83,FALSE)</f>
        <v>165288.28</v>
      </c>
      <c r="CF101" s="34">
        <f>VLOOKUP($A101,'[1]Init $$'!$B$3:$CG$118,84,FALSE)</f>
        <v>0</v>
      </c>
      <c r="CJ101" s="28">
        <f t="shared" si="6"/>
        <v>2346247.5299987947</v>
      </c>
      <c r="CK101" s="43">
        <f>'Est gen ed 23 $$'!CK101/'Est gen ed 23 pos'!CK$123</f>
        <v>0.99999604682144683</v>
      </c>
      <c r="CL101" s="43">
        <f>'Est gen ed 23 $$'!CL101/'Est gen ed 23 pos'!CL$123</f>
        <v>0</v>
      </c>
      <c r="CM101" s="43">
        <f>'Est gen ed 23 $$'!CM101/'Est gen ed 23 pos'!CM$123</f>
        <v>0.5</v>
      </c>
      <c r="CN101" s="43">
        <f>'Est gen ed 23 $$'!CN101/'Est gen ed 23 pos'!CN$123</f>
        <v>0</v>
      </c>
      <c r="CO101" s="43">
        <f>'Est gen ed 23 $$'!CO101/'Est gen ed 23 pos'!CO$123</f>
        <v>0</v>
      </c>
      <c r="CP101" s="43">
        <f>'Est gen ed 23 $$'!CP101/'Est gen ed 23 pos'!CP$123</f>
        <v>0</v>
      </c>
      <c r="CQ101" s="43">
        <f>'Est gen ed 23 $$'!CQ101/'Est gen ed 23 pos'!CQ$123</f>
        <v>0.99999604682144683</v>
      </c>
      <c r="CR101" s="43">
        <f>'Est gen ed 23 $$'!CR101/'Est gen ed 23 pos'!CR$123</f>
        <v>0.99999604682144683</v>
      </c>
      <c r="CS101" s="43">
        <f>'Est gen ed 23 $$'!CS101/'Est gen ed 23 pos'!CS$123</f>
        <v>1.4999940702321701</v>
      </c>
      <c r="CT101" s="43">
        <f>'Est gen ed 23 $$'!CT101/'Est gen ed 23 pos'!CT$123</f>
        <v>2</v>
      </c>
      <c r="CU101" s="43">
        <f>'Est gen ed 23 $$'!CU101/'Est gen ed 23 pos'!CU$123</f>
        <v>10</v>
      </c>
      <c r="CZ101" s="43">
        <f>'Est gen ed 23 $$'!CW101/'Est gen ed 23 pos'!CZ$123</f>
        <v>0</v>
      </c>
      <c r="DB101" s="28">
        <f t="shared" si="7"/>
        <v>937761</v>
      </c>
      <c r="DC101" s="28">
        <f t="shared" si="4"/>
        <v>417912.45999999996</v>
      </c>
      <c r="DK101" s="34"/>
      <c r="DL101" s="34"/>
    </row>
    <row r="102" spans="1:116" x14ac:dyDescent="0.2">
      <c r="A102">
        <v>427</v>
      </c>
      <c r="B102" t="s">
        <v>24</v>
      </c>
      <c r="C102" t="s">
        <v>19</v>
      </c>
      <c r="D102">
        <v>7</v>
      </c>
      <c r="E102">
        <f>VLOOKUP($A102,'[1]Init $$'!$B$3:$CG$118,4,FALSE)</f>
        <v>224</v>
      </c>
      <c r="F102">
        <f>VLOOKUP($A102,'[1]Init $$'!$B$3:$CG$118,6,FALSE)</f>
        <v>224</v>
      </c>
      <c r="G102">
        <f>VLOOKUP($A102,'[2]$$xSchpostCouncilxLevel'!$A$4:$EW$120,153,FALSE)</f>
        <v>276</v>
      </c>
      <c r="H102" s="50">
        <f t="shared" si="5"/>
        <v>-52</v>
      </c>
      <c r="I102" s="4">
        <f>VLOOKUP($A102,'[1]Init $$'!$B$3:$CG$118,8,FALSE)</f>
        <v>0.75</v>
      </c>
      <c r="J102">
        <f>VLOOKUP($A102,'[1]Init $$'!$B$3:$CG$118,7,FALSE)</f>
        <v>168</v>
      </c>
      <c r="K102" s="43">
        <f>'Est gen ed 23 $$'!K102/'Est gen ed 23 pos'!K$123</f>
        <v>1</v>
      </c>
      <c r="L102" s="43">
        <f>'Est gen ed 23 $$'!L102/'Est gen ed 23 pos'!L$123</f>
        <v>1</v>
      </c>
      <c r="M102" s="43">
        <f>'Est gen ed 23 $$'!M102/'Est gen ed 23 pos'!M$123</f>
        <v>0</v>
      </c>
      <c r="N102" s="43">
        <f>'Est gen ed 23 $$'!N102/'Est gen ed 23 pos'!N$123</f>
        <v>1</v>
      </c>
      <c r="O102" s="34">
        <f>VLOOKUP($A102,'[1]Init $$'!$B$3:$CG$118,15,FALSE)</f>
        <v>10456</v>
      </c>
      <c r="P102" s="43">
        <f>'Est gen ed 23 $$'!P102/'Est gen ed 23 pos'!P$123</f>
        <v>1</v>
      </c>
      <c r="Q102" s="43">
        <f>'Est gen ed 23 $$'!Q102/'Est gen ed 23 pos'!Q$123</f>
        <v>1</v>
      </c>
      <c r="R102" s="43">
        <f>'Est gen ed 23 $$'!R102/'Est gen ed 23 pos'!R$123</f>
        <v>3.0000001953611113</v>
      </c>
      <c r="S102" s="43">
        <f>'Est gen ed 23 $$'!S102/'Est gen ed 23 pos'!S$123</f>
        <v>1</v>
      </c>
      <c r="T102" s="43">
        <f>'Est gen ed 23 $$'!T102/'Est gen ed 23 pos'!T$123</f>
        <v>0</v>
      </c>
      <c r="U102" s="43">
        <f>'Est gen ed 23 $$'!U102/'Est gen ed 23 pos'!U$123</f>
        <v>0</v>
      </c>
      <c r="V102" s="43">
        <f>'Est gen ed 23 $$'!V102/'Est gen ed 23 pos'!V$123</f>
        <v>0</v>
      </c>
      <c r="W102" s="43">
        <f>'Est gen ed 23 $$'!W102/'Est gen ed 23 pos'!W$123</f>
        <v>0</v>
      </c>
      <c r="X102" s="34">
        <f>VLOOKUP($A102,'[1]Init $$'!$B$3:$CG$118,24,FALSE)</f>
        <v>0</v>
      </c>
      <c r="Y102" s="34">
        <f>VLOOKUP($A102,'[1]Init $$'!$B$3:$CG$118,25,FALSE)</f>
        <v>0</v>
      </c>
      <c r="Z102" s="34">
        <f>VLOOKUP($A102,'[1]Init $$'!$B$3:$CG$118,26,FALSE)</f>
        <v>0</v>
      </c>
      <c r="AA102" s="34">
        <f>VLOOKUP($A102,'[1]Init $$'!$B$3:$CG$118,27,FALSE)</f>
        <v>0</v>
      </c>
      <c r="AB102" s="43">
        <f>'Est gen ed 23 $$'!AB102/'Est gen ed 23 pos'!AB$123</f>
        <v>0</v>
      </c>
      <c r="AC102" s="43">
        <f>'Est gen ed 23 $$'!AC102/'Est gen ed 23 pos'!AC$123</f>
        <v>0</v>
      </c>
      <c r="AD102" s="43">
        <f>'Est gen ed 23 $$'!AD102/'Est gen ed 23 pos'!AD$123</f>
        <v>0</v>
      </c>
      <c r="AE102" s="43">
        <f>'Est gen ed 23 $$'!AE102/'Est gen ed 23 pos'!AE$123</f>
        <v>0</v>
      </c>
      <c r="AF102" s="34">
        <f>VLOOKUP($A102,'[1]Init $$'!$B$3:$CG$118,32,FALSE)</f>
        <v>1337952</v>
      </c>
      <c r="AG102" s="34">
        <f>VLOOKUP($A102,'[1]Init $$'!$B$3:$CG$118,33,FALSE)</f>
        <v>76608</v>
      </c>
      <c r="AH102" s="43">
        <f>'Est gen ed 23 $$'!AH102/'Est gen ed 23 pos'!AH$123</f>
        <v>1</v>
      </c>
      <c r="AI102" s="43">
        <f>'Est gen ed 23 $$'!AI102/'Est gen ed 23 pos'!AI$123</f>
        <v>1.4999999560757939</v>
      </c>
      <c r="AJ102" s="43">
        <f>'Est gen ed 23 $$'!AJ102/'Est gen ed 23 pos'!AJ$123</f>
        <v>5.9999998243031758</v>
      </c>
      <c r="AK102" s="43">
        <f>'Est gen ed 23 $$'!AK102/'Est gen ed 23 pos'!AK$123</f>
        <v>3.9999998243031758</v>
      </c>
      <c r="AL102" s="43">
        <f>'Est gen ed 23 $$'!AL102/'Est gen ed 23 pos'!AL$123</f>
        <v>5.9999994893586166</v>
      </c>
      <c r="AM102" s="43">
        <f>'Est gen ed 23 $$'!AM102/'Est gen ed 23 pos'!AM$123</f>
        <v>0</v>
      </c>
      <c r="AN102" s="43">
        <f>'Est gen ed 23 $$'!AN102/'Est gen ed 23 pos'!AN$123</f>
        <v>0</v>
      </c>
      <c r="AO102" s="43">
        <f>'Est gen ed 23 $$'!AO102/'Est gen ed 23 pos'!AO$123</f>
        <v>0</v>
      </c>
      <c r="AP102" s="34">
        <f>VLOOKUP($A102,'[1]Init $$'!$B$3:$CG$118,42,FALSE)</f>
        <v>121849.2</v>
      </c>
      <c r="AQ102" s="34">
        <f>VLOOKUP($A102,'[1]Init $$'!$B$3:$CG$118,43,FALSE)</f>
        <v>0</v>
      </c>
      <c r="AR102" s="43">
        <f>'Est gen ed 23 $$'!AR102/'Est gen ed 23 pos'!AR$123</f>
        <v>1</v>
      </c>
      <c r="AS102" s="43">
        <f>'Est gen ed 23 $$'!AS102/'Est gen ed 23 pos'!AS$123</f>
        <v>0</v>
      </c>
      <c r="AT102" s="43">
        <f>'Est gen ed 23 $$'!AT102/'Est gen ed 23 pos'!AT$123</f>
        <v>0</v>
      </c>
      <c r="AU102" s="34">
        <f>VLOOKUP($A102,'[1]Init $$'!$B$3:$CG$118,47,FALSE)</f>
        <v>19710.900000000001</v>
      </c>
      <c r="AV102" s="34">
        <f>VLOOKUP($A102,'[1]Init $$'!$B$3:$CG$118,48,FALSE)</f>
        <v>0</v>
      </c>
      <c r="AW102" s="34">
        <f>VLOOKUP($A102,'[1]Init $$'!$B$3:$CG$118,49,FALSE)</f>
        <v>0</v>
      </c>
      <c r="AX102" s="34">
        <f>VLOOKUP($A102,'[1]Init $$'!$B$3:$CG$118,50,FALSE)</f>
        <v>0</v>
      </c>
      <c r="AY102" s="34">
        <f>VLOOKUP($A102,'[1]Init $$'!$B$3:$CG$118,51,FALSE)</f>
        <v>0</v>
      </c>
      <c r="AZ102" s="34">
        <f>VLOOKUP($A102,'[1]Init $$'!$B$3:$CG$118,52,FALSE)</f>
        <v>0</v>
      </c>
      <c r="BA102" s="34">
        <f>VLOOKUP($A102,'[1]Init $$'!$B$3:$CG$118,53,FALSE)</f>
        <v>0</v>
      </c>
      <c r="BB102" s="34">
        <f>VLOOKUP($A102,'[1]Init $$'!$B$3:$CG$118,54,FALSE)</f>
        <v>0</v>
      </c>
      <c r="BC102" s="34">
        <f>VLOOKUP($A102,'[1]Init $$'!$B$3:$CG$118,55,FALSE)</f>
        <v>121224.58</v>
      </c>
      <c r="BD102" s="34">
        <f>VLOOKUP($A102,'[1]Init $$'!$B$3:$CG$118,56,FALSE)</f>
        <v>1952.63</v>
      </c>
      <c r="BE102" s="34">
        <f>VLOOKUP($A102,'[1]Init $$'!$B$3:$CG$118,57,FALSE)</f>
        <v>0</v>
      </c>
      <c r="BF102" s="43">
        <f>'Est gen ed 23 $$'!BF102/'Est gen ed 23 pos'!BF$123</f>
        <v>0</v>
      </c>
      <c r="BG102" s="43">
        <f>'Est gen ed 23 $$'!BG102/'Est gen ed 23 pos'!BG$123</f>
        <v>0</v>
      </c>
      <c r="BH102" s="34">
        <f>VLOOKUP($A102,'[1]Init $$'!$B$3:$CG$118,60,FALSE)</f>
        <v>0</v>
      </c>
      <c r="BI102" s="34">
        <f>VLOOKUP($A102,'[1]Init $$'!$B$3:$CG$118,61,FALSE)</f>
        <v>0</v>
      </c>
      <c r="BJ102" s="34">
        <f>VLOOKUP($A102,'[1]Init $$'!$B$3:$CG$118,62,FALSE)</f>
        <v>0</v>
      </c>
      <c r="BK102" s="43">
        <f>'Est gen ed 23 $$'!BK102/'Est gen ed 23 pos'!BK$123</f>
        <v>0</v>
      </c>
      <c r="BL102" s="34">
        <f>VLOOKUP($A102,'[1]Init $$'!$B$3:$CG$118,64,FALSE)</f>
        <v>0</v>
      </c>
      <c r="BM102" s="43">
        <f>'Est gen ed 23 $$'!BM102/'Est gen ed 23 pos'!BM$123</f>
        <v>0</v>
      </c>
      <c r="BN102" s="34">
        <f>VLOOKUP($A102,'[1]Init $$'!$B$3:$CG$118,66,FALSE)</f>
        <v>0</v>
      </c>
      <c r="BO102" s="43">
        <f>'Est gen ed 23 $$'!BO102/'Est gen ed 23 pos'!BO$123</f>
        <v>0</v>
      </c>
      <c r="BP102" s="34">
        <f>VLOOKUP($A102,'[1]Init $$'!$B$3:$CG$118,68,FALSE)</f>
        <v>0</v>
      </c>
      <c r="BQ102" s="43">
        <f>'Est gen ed 23 $$'!BQ102/'Est gen ed 23 pos'!BQ$123</f>
        <v>0</v>
      </c>
      <c r="BR102" s="43">
        <f>'Est gen ed 23 $$'!BR102/'Est gen ed 23 pos'!BR$123</f>
        <v>0</v>
      </c>
      <c r="BS102" s="34">
        <f>VLOOKUP($A102,'[1]Init $$'!$B$3:$CG$118,71,FALSE)</f>
        <v>0</v>
      </c>
      <c r="BT102" s="34">
        <f>VLOOKUP($A102,'[1]Init $$'!$B$3:$CG$118,72,FALSE)</f>
        <v>0</v>
      </c>
      <c r="BU102" s="34">
        <f>VLOOKUP($A102,'[1]Init $$'!$B$3:$CG$118,73,FALSE)</f>
        <v>0</v>
      </c>
      <c r="BV102" s="34">
        <f>VLOOKUP($A102,'[1]Init $$'!$B$3:$CG$118,74,FALSE)</f>
        <v>0</v>
      </c>
      <c r="BW102" s="34">
        <f>VLOOKUP($A102,'[1]Init $$'!$B$3:$CG$118,75,FALSE)</f>
        <v>55921</v>
      </c>
      <c r="BX102" s="43">
        <f>'Est gen ed 23 $$'!BX102/'Est gen ed 23 pos'!BX$123</f>
        <v>0</v>
      </c>
      <c r="BY102" s="43">
        <f>'Est gen ed 23 $$'!BY102/'Est gen ed 23 pos'!BY$123</f>
        <v>0</v>
      </c>
      <c r="BZ102" s="43">
        <f>'Est gen ed 23 $$'!BZ102/'Est gen ed 23 pos'!BZ$123</f>
        <v>0</v>
      </c>
      <c r="CA102" s="34">
        <f>VLOOKUP($A102,'[1]Init $$'!$B$3:$CG$118,79,FALSE)</f>
        <v>450660.67</v>
      </c>
      <c r="CB102" s="34">
        <f>VLOOKUP($A102,'[1]Init $$'!$B$3:$CG$118,80,FALSE)</f>
        <v>107036.16</v>
      </c>
      <c r="CC102" s="34">
        <f>VLOOKUP($A102,'[1]Init $$'!$B$3:$CG$118,81,FALSE)</f>
        <v>264665.40000000002</v>
      </c>
      <c r="CD102" s="34">
        <f>VLOOKUP($A102,'[1]Init $$'!$B$3:$CG$118,82,FALSE)</f>
        <v>226363.95</v>
      </c>
      <c r="CE102" s="34">
        <f>VLOOKUP($A102,'[1]Init $$'!$B$3:$CG$118,83,FALSE)</f>
        <v>0</v>
      </c>
      <c r="CF102" s="34">
        <f>VLOOKUP($A102,'[1]Init $$'!$B$3:$CG$118,84,FALSE)</f>
        <v>162321.64000000001</v>
      </c>
      <c r="CJ102" s="28">
        <f t="shared" si="6"/>
        <v>2956750.6299992893</v>
      </c>
      <c r="CK102" s="43">
        <f>'Est gen ed 23 $$'!CK102/'Est gen ed 23 pos'!CK$123</f>
        <v>0.99999604682144683</v>
      </c>
      <c r="CL102" s="43">
        <f>'Est gen ed 23 $$'!CL102/'Est gen ed 23 pos'!CL$123</f>
        <v>0.7466666666666667</v>
      </c>
      <c r="CM102" s="43">
        <f>'Est gen ed 23 $$'!CM102/'Est gen ed 23 pos'!CM$123</f>
        <v>0.5</v>
      </c>
      <c r="CN102" s="43">
        <f>'Est gen ed 23 $$'!CN102/'Est gen ed 23 pos'!CN$123</f>
        <v>0</v>
      </c>
      <c r="CO102" s="43">
        <f>'Est gen ed 23 $$'!CO102/'Est gen ed 23 pos'!CO$123</f>
        <v>0</v>
      </c>
      <c r="CP102" s="43">
        <f>'Est gen ed 23 $$'!CP102/'Est gen ed 23 pos'!CP$123</f>
        <v>0</v>
      </c>
      <c r="CQ102" s="43">
        <f>'Est gen ed 23 $$'!CQ102/'Est gen ed 23 pos'!CQ$123</f>
        <v>0</v>
      </c>
      <c r="CR102" s="43">
        <f>'Est gen ed 23 $$'!CR102/'Est gen ed 23 pos'!CR$123</f>
        <v>0</v>
      </c>
      <c r="CS102" s="43">
        <f>'Est gen ed 23 $$'!CS102/'Est gen ed 23 pos'!CS$123</f>
        <v>0</v>
      </c>
      <c r="CT102" s="43">
        <f>'Est gen ed 23 $$'!CT102/'Est gen ed 23 pos'!CT$123</f>
        <v>0</v>
      </c>
      <c r="CU102" s="43">
        <f>'Est gen ed 23 $$'!CU102/'Est gen ed 23 pos'!CU$123</f>
        <v>12</v>
      </c>
      <c r="CZ102" s="43">
        <f>'Est gen ed 23 $$'!CW102/'Est gen ed 23 pos'!CZ$123</f>
        <v>0</v>
      </c>
      <c r="DB102" s="28">
        <f t="shared" si="7"/>
        <v>1337952</v>
      </c>
      <c r="DC102" s="28">
        <f t="shared" si="4"/>
        <v>653350.99</v>
      </c>
      <c r="DK102" s="34"/>
      <c r="DL102" s="34"/>
    </row>
    <row r="103" spans="1:116" x14ac:dyDescent="0.2">
      <c r="A103">
        <v>319</v>
      </c>
      <c r="B103" t="s">
        <v>23</v>
      </c>
      <c r="C103" t="s">
        <v>7</v>
      </c>
      <c r="D103">
        <v>8</v>
      </c>
      <c r="E103">
        <f>VLOOKUP($A103,'[1]Init $$'!$B$3:$CG$118,4,FALSE)</f>
        <v>317</v>
      </c>
      <c r="F103">
        <f>VLOOKUP($A103,'[1]Init $$'!$B$3:$CG$118,6,FALSE)</f>
        <v>250</v>
      </c>
      <c r="G103">
        <f>VLOOKUP($A103,'[2]$$xSchpostCouncilxLevel'!$A$4:$EW$120,153,FALSE)</f>
        <v>313</v>
      </c>
      <c r="H103" s="50">
        <f t="shared" si="5"/>
        <v>-63</v>
      </c>
      <c r="I103" s="4">
        <f>VLOOKUP($A103,'[1]Init $$'!$B$3:$CG$118,8,FALSE)</f>
        <v>0.90851735015772872</v>
      </c>
      <c r="J103">
        <f>VLOOKUP($A103,'[1]Init $$'!$B$3:$CG$118,7,FALSE)</f>
        <v>288</v>
      </c>
      <c r="K103" s="43">
        <f>'Est gen ed 23 $$'!K103/'Est gen ed 23 pos'!K$123</f>
        <v>1</v>
      </c>
      <c r="L103" s="43">
        <f>'Est gen ed 23 $$'!L103/'Est gen ed 23 pos'!L$123</f>
        <v>0</v>
      </c>
      <c r="M103" s="43">
        <f>'Est gen ed 23 $$'!M103/'Est gen ed 23 pos'!M$123</f>
        <v>0</v>
      </c>
      <c r="N103" s="43">
        <f>'Est gen ed 23 $$'!N103/'Est gen ed 23 pos'!N$123</f>
        <v>1</v>
      </c>
      <c r="O103" s="34">
        <f>VLOOKUP($A103,'[1]Init $$'!$B$3:$CG$118,15,FALSE)</f>
        <v>6646</v>
      </c>
      <c r="P103" s="43">
        <f>'Est gen ed 23 $$'!P103/'Est gen ed 23 pos'!P$123</f>
        <v>1</v>
      </c>
      <c r="Q103" s="43">
        <f>'Est gen ed 23 $$'!Q103/'Est gen ed 23 pos'!Q$123</f>
        <v>1</v>
      </c>
      <c r="R103" s="43">
        <f>'Est gen ed 23 $$'!R103/'Est gen ed 23 pos'!R$123</f>
        <v>2.0000001953611113</v>
      </c>
      <c r="S103" s="43">
        <f>'Est gen ed 23 $$'!S103/'Est gen ed 23 pos'!S$123</f>
        <v>1</v>
      </c>
      <c r="T103" s="43">
        <f>'Est gen ed 23 $$'!T103/'Est gen ed 23 pos'!T$123</f>
        <v>1.9999999121515879</v>
      </c>
      <c r="U103" s="43">
        <f>'Est gen ed 23 $$'!U103/'Est gen ed 23 pos'!U$123</f>
        <v>0</v>
      </c>
      <c r="V103" s="43">
        <f>'Est gen ed 23 $$'!V103/'Est gen ed 23 pos'!V$123</f>
        <v>2.9999999121515879</v>
      </c>
      <c r="W103" s="43">
        <f>'Est gen ed 23 $$'!W103/'Est gen ed 23 pos'!W$123</f>
        <v>4.9999994893586166</v>
      </c>
      <c r="X103" s="34">
        <f>VLOOKUP($A103,'[1]Init $$'!$B$3:$CG$118,24,FALSE)</f>
        <v>120057.3</v>
      </c>
      <c r="Y103" s="34">
        <f>VLOOKUP($A103,'[1]Init $$'!$B$3:$CG$118,25,FALSE)</f>
        <v>0</v>
      </c>
      <c r="Z103" s="34">
        <f>VLOOKUP($A103,'[1]Init $$'!$B$3:$CG$118,26,FALSE)</f>
        <v>0</v>
      </c>
      <c r="AA103" s="34">
        <f>VLOOKUP($A103,'[1]Init $$'!$B$3:$CG$118,27,FALSE)</f>
        <v>0</v>
      </c>
      <c r="AB103" s="43">
        <f>'Est gen ed 23 $$'!AB103/'Est gen ed 23 pos'!AB$123</f>
        <v>0</v>
      </c>
      <c r="AC103" s="43">
        <f>'Est gen ed 23 $$'!AC103/'Est gen ed 23 pos'!AC$123</f>
        <v>0</v>
      </c>
      <c r="AD103" s="43">
        <f>'Est gen ed 23 $$'!AD103/'Est gen ed 23 pos'!AD$123</f>
        <v>0</v>
      </c>
      <c r="AE103" s="43">
        <f>'Est gen ed 23 $$'!AE103/'Est gen ed 23 pos'!AE$123</f>
        <v>0</v>
      </c>
      <c r="AF103" s="34">
        <f>VLOOKUP($A103,'[1]Init $$'!$B$3:$CG$118,32,FALSE)</f>
        <v>1493250</v>
      </c>
      <c r="AG103" s="34">
        <f>VLOOKUP($A103,'[1]Init $$'!$B$3:$CG$118,33,FALSE)</f>
        <v>103025</v>
      </c>
      <c r="AH103" s="43">
        <f>'Est gen ed 23 $$'!AH103/'Est gen ed 23 pos'!AH$123</f>
        <v>1</v>
      </c>
      <c r="AI103" s="43">
        <f>'Est gen ed 23 $$'!AI103/'Est gen ed 23 pos'!AI$123</f>
        <v>1.9999999121515879</v>
      </c>
      <c r="AJ103" s="43">
        <f>'Est gen ed 23 $$'!AJ103/'Est gen ed 23 pos'!AJ$123</f>
        <v>2.9999999121515879</v>
      </c>
      <c r="AK103" s="43">
        <f>'Est gen ed 23 $$'!AK103/'Est gen ed 23 pos'!AK$123</f>
        <v>3.9999998243031758</v>
      </c>
      <c r="AL103" s="43">
        <f>'Est gen ed 23 $$'!AL103/'Est gen ed 23 pos'!AL$123</f>
        <v>5.9999994893586166</v>
      </c>
      <c r="AM103" s="43">
        <f>'Est gen ed 23 $$'!AM103/'Est gen ed 23 pos'!AM$123</f>
        <v>0</v>
      </c>
      <c r="AN103" s="43">
        <f>'Est gen ed 23 $$'!AN103/'Est gen ed 23 pos'!AN$123</f>
        <v>0</v>
      </c>
      <c r="AO103" s="43">
        <f>'Est gen ed 23 $$'!AO103/'Est gen ed 23 pos'!AO$123</f>
        <v>0</v>
      </c>
      <c r="AP103" s="34">
        <f>VLOOKUP($A103,'[1]Init $$'!$B$3:$CG$118,42,FALSE)</f>
        <v>143352</v>
      </c>
      <c r="AQ103" s="34">
        <f>VLOOKUP($A103,'[1]Init $$'!$B$3:$CG$118,43,FALSE)</f>
        <v>0</v>
      </c>
      <c r="AR103" s="43">
        <f>'Est gen ed 23 $$'!AR103/'Est gen ed 23 pos'!AR$123</f>
        <v>0</v>
      </c>
      <c r="AS103" s="43">
        <f>'Est gen ed 23 $$'!AS103/'Est gen ed 23 pos'!AS$123</f>
        <v>8.9999995607579389E-2</v>
      </c>
      <c r="AT103" s="43">
        <f>'Est gen ed 23 $$'!AT103/'Est gen ed 23 pos'!AT$123</f>
        <v>0</v>
      </c>
      <c r="AU103" s="34">
        <f>VLOOKUP($A103,'[1]Init $$'!$B$3:$CG$118,47,FALSE)</f>
        <v>3583.8</v>
      </c>
      <c r="AV103" s="34">
        <f>VLOOKUP($A103,'[1]Init $$'!$B$3:$CG$118,48,FALSE)</f>
        <v>13600</v>
      </c>
      <c r="AW103" s="34">
        <f>VLOOKUP($A103,'[1]Init $$'!$B$3:$CG$118,49,FALSE)</f>
        <v>20400</v>
      </c>
      <c r="AX103" s="34">
        <f>VLOOKUP($A103,'[1]Init $$'!$B$3:$CG$118,50,FALSE)</f>
        <v>0</v>
      </c>
      <c r="AY103" s="34">
        <f>VLOOKUP($A103,'[1]Init $$'!$B$3:$CG$118,51,FALSE)</f>
        <v>0</v>
      </c>
      <c r="AZ103" s="34">
        <f>VLOOKUP($A103,'[1]Init $$'!$B$3:$CG$118,52,FALSE)</f>
        <v>27200</v>
      </c>
      <c r="BA103" s="34">
        <f>VLOOKUP($A103,'[1]Init $$'!$B$3:$CG$118,53,FALSE)</f>
        <v>10200</v>
      </c>
      <c r="BB103" s="34">
        <f>VLOOKUP($A103,'[1]Init $$'!$B$3:$CG$118,54,FALSE)</f>
        <v>34000</v>
      </c>
      <c r="BC103" s="34">
        <f>VLOOKUP($A103,'[1]Init $$'!$B$3:$CG$118,55,FALSE)</f>
        <v>171554.43</v>
      </c>
      <c r="BD103" s="34">
        <f>VLOOKUP($A103,'[1]Init $$'!$B$3:$CG$118,56,FALSE)</f>
        <v>2763.32</v>
      </c>
      <c r="BE103" s="34">
        <f>VLOOKUP($A103,'[1]Init $$'!$B$3:$CG$118,57,FALSE)</f>
        <v>0</v>
      </c>
      <c r="BF103" s="43">
        <f>'Est gen ed 23 $$'!BF103/'Est gen ed 23 pos'!BF$123</f>
        <v>1</v>
      </c>
      <c r="BG103" s="43">
        <f>'Est gen ed 23 $$'!BG103/'Est gen ed 23 pos'!BG$123</f>
        <v>0</v>
      </c>
      <c r="BH103" s="34">
        <f>VLOOKUP($A103,'[1]Init $$'!$B$3:$CG$118,60,FALSE)</f>
        <v>0</v>
      </c>
      <c r="BI103" s="34">
        <f>VLOOKUP($A103,'[1]Init $$'!$B$3:$CG$118,61,FALSE)</f>
        <v>0</v>
      </c>
      <c r="BJ103" s="34">
        <f>VLOOKUP($A103,'[1]Init $$'!$B$3:$CG$118,62,FALSE)</f>
        <v>0</v>
      </c>
      <c r="BK103" s="43">
        <f>'Est gen ed 23 $$'!BK103/'Est gen ed 23 pos'!BK$123</f>
        <v>0</v>
      </c>
      <c r="BL103" s="34">
        <f>VLOOKUP($A103,'[1]Init $$'!$B$3:$CG$118,64,FALSE)</f>
        <v>0</v>
      </c>
      <c r="BM103" s="43">
        <f>'Est gen ed 23 $$'!BM103/'Est gen ed 23 pos'!BM$123</f>
        <v>0</v>
      </c>
      <c r="BN103" s="34">
        <f>VLOOKUP($A103,'[1]Init $$'!$B$3:$CG$118,66,FALSE)</f>
        <v>0</v>
      </c>
      <c r="BO103" s="43">
        <f>'Est gen ed 23 $$'!BO103/'Est gen ed 23 pos'!BO$123</f>
        <v>0</v>
      </c>
      <c r="BP103" s="34">
        <f>VLOOKUP($A103,'[1]Init $$'!$B$3:$CG$118,68,FALSE)</f>
        <v>0</v>
      </c>
      <c r="BQ103" s="43">
        <f>'Est gen ed 23 $$'!BQ103/'Est gen ed 23 pos'!BQ$123</f>
        <v>0</v>
      </c>
      <c r="BR103" s="43">
        <f>'Est gen ed 23 $$'!BR103/'Est gen ed 23 pos'!BR$123</f>
        <v>0</v>
      </c>
      <c r="BS103" s="34">
        <f>VLOOKUP($A103,'[1]Init $$'!$B$3:$CG$118,71,FALSE)</f>
        <v>0</v>
      </c>
      <c r="BT103" s="34">
        <f>VLOOKUP($A103,'[1]Init $$'!$B$3:$CG$118,72,FALSE)</f>
        <v>0</v>
      </c>
      <c r="BU103" s="34">
        <f>VLOOKUP($A103,'[1]Init $$'!$B$3:$CG$118,73,FALSE)</f>
        <v>0</v>
      </c>
      <c r="BV103" s="34">
        <f>VLOOKUP($A103,'[1]Init $$'!$B$3:$CG$118,74,FALSE)</f>
        <v>0</v>
      </c>
      <c r="BW103" s="34">
        <f>VLOOKUP($A103,'[1]Init $$'!$B$3:$CG$118,75,FALSE)</f>
        <v>0</v>
      </c>
      <c r="BX103" s="43">
        <f>'Est gen ed 23 $$'!BX103/'Est gen ed 23 pos'!BX$123</f>
        <v>0</v>
      </c>
      <c r="BY103" s="43">
        <f>'Est gen ed 23 $$'!BY103/'Est gen ed 23 pos'!BY$123</f>
        <v>0</v>
      </c>
      <c r="BZ103" s="43">
        <f>'Est gen ed 23 $$'!BZ103/'Est gen ed 23 pos'!BZ$123</f>
        <v>0</v>
      </c>
      <c r="CA103" s="34">
        <f>VLOOKUP($A103,'[1]Init $$'!$B$3:$CG$118,79,FALSE)</f>
        <v>772561.15</v>
      </c>
      <c r="CB103" s="34">
        <f>VLOOKUP($A103,'[1]Init $$'!$B$3:$CG$118,80,FALSE)</f>
        <v>192569.52</v>
      </c>
      <c r="CC103" s="34">
        <f>VLOOKUP($A103,'[1]Init $$'!$B$3:$CG$118,81,FALSE)</f>
        <v>322579.62</v>
      </c>
      <c r="CD103" s="34">
        <f>VLOOKUP($A103,'[1]Init $$'!$B$3:$CG$118,82,FALSE)</f>
        <v>170624.55</v>
      </c>
      <c r="CE103" s="34">
        <f>VLOOKUP($A103,'[1]Init $$'!$B$3:$CG$118,83,FALSE)</f>
        <v>0</v>
      </c>
      <c r="CF103" s="34">
        <f>VLOOKUP($A103,'[1]Init $$'!$B$3:$CG$118,84,FALSE)</f>
        <v>125661.98</v>
      </c>
      <c r="CJ103" s="28">
        <f t="shared" si="6"/>
        <v>3733662.7599986424</v>
      </c>
      <c r="CK103" s="43">
        <f>'Est gen ed 23 $$'!CK103/'Est gen ed 23 pos'!CK$123</f>
        <v>0.99999604682144683</v>
      </c>
      <c r="CL103" s="43">
        <f>'Est gen ed 23 $$'!CL103/'Est gen ed 23 pos'!CL$123</f>
        <v>0.79249999999999998</v>
      </c>
      <c r="CM103" s="43">
        <f>'Est gen ed 23 $$'!CM103/'Est gen ed 23 pos'!CM$123</f>
        <v>1</v>
      </c>
      <c r="CN103" s="43">
        <f>'Est gen ed 23 $$'!CN103/'Est gen ed 23 pos'!CN$123</f>
        <v>0</v>
      </c>
      <c r="CO103" s="43">
        <f>'Est gen ed 23 $$'!CO103/'Est gen ed 23 pos'!CO$123</f>
        <v>0</v>
      </c>
      <c r="CP103" s="43">
        <f>'Est gen ed 23 $$'!CP103/'Est gen ed 23 pos'!CP$123</f>
        <v>0</v>
      </c>
      <c r="CQ103" s="43">
        <f>'Est gen ed 23 $$'!CQ103/'Est gen ed 23 pos'!CQ$123</f>
        <v>0.99999604682144683</v>
      </c>
      <c r="CR103" s="43">
        <f>'Est gen ed 23 $$'!CR103/'Est gen ed 23 pos'!CR$123</f>
        <v>0.99999604682144683</v>
      </c>
      <c r="CS103" s="43">
        <f>'Est gen ed 23 $$'!CS103/'Est gen ed 23 pos'!CS$123</f>
        <v>1.4999940702321701</v>
      </c>
      <c r="CT103" s="43">
        <f>'Est gen ed 23 $$'!CT103/'Est gen ed 23 pos'!CT$123</f>
        <v>3</v>
      </c>
      <c r="CU103" s="43">
        <f>'Est gen ed 23 $$'!CU103/'Est gen ed 23 pos'!CU$123</f>
        <v>14</v>
      </c>
      <c r="CZ103" s="43">
        <f>'Est gen ed 23 $$'!CW103/'Est gen ed 23 pos'!CZ$123</f>
        <v>0</v>
      </c>
      <c r="DB103" s="28">
        <f t="shared" si="7"/>
        <v>1493250</v>
      </c>
      <c r="DC103" s="28">
        <f t="shared" si="4"/>
        <v>618866.15</v>
      </c>
      <c r="DK103" s="34"/>
      <c r="DL103" s="34"/>
    </row>
    <row r="104" spans="1:116" x14ac:dyDescent="0.2">
      <c r="A104">
        <v>1142</v>
      </c>
      <c r="B104" t="s">
        <v>22</v>
      </c>
      <c r="C104" t="s">
        <v>7</v>
      </c>
      <c r="D104">
        <v>2</v>
      </c>
      <c r="E104">
        <f>VLOOKUP($A104,'[1]Init $$'!$B$3:$CG$118,4,FALSE)</f>
        <v>75</v>
      </c>
      <c r="F104">
        <f>VLOOKUP($A104,'[1]Init $$'!$B$3:$CG$118,6,FALSE)</f>
        <v>0</v>
      </c>
      <c r="G104">
        <f>VLOOKUP($A104,'[2]$$xSchpostCouncilxLevel'!$A$4:$EW$120,153,FALSE)</f>
        <v>0</v>
      </c>
      <c r="H104" s="50">
        <f t="shared" si="5"/>
        <v>0</v>
      </c>
      <c r="I104" s="4">
        <f>VLOOKUP($A104,'[1]Init $$'!$B$3:$CG$118,8,FALSE)</f>
        <v>0.21333333333333335</v>
      </c>
      <c r="J104">
        <f>VLOOKUP($A104,'[1]Init $$'!$B$3:$CG$118,7,FALSE)</f>
        <v>16</v>
      </c>
      <c r="K104" s="43">
        <f>'Est gen ed 23 $$'!K104/'Est gen ed 23 pos'!K$123</f>
        <v>0.5</v>
      </c>
      <c r="L104" s="43">
        <f>'Est gen ed 23 $$'!L104/'Est gen ed 23 pos'!L$123</f>
        <v>0</v>
      </c>
      <c r="M104" s="43">
        <f>'Est gen ed 23 $$'!M104/'Est gen ed 23 pos'!M$123</f>
        <v>0</v>
      </c>
      <c r="N104" s="43">
        <f>'Est gen ed 23 $$'!N104/'Est gen ed 23 pos'!N$123</f>
        <v>1</v>
      </c>
      <c r="O104" s="34">
        <f>VLOOKUP($A104,'[1]Init $$'!$B$3:$CG$118,15,FALSE)</f>
        <v>4384.6499999999996</v>
      </c>
      <c r="P104" s="43">
        <f>'Est gen ed 23 $$'!P104/'Est gen ed 23 pos'!P$123</f>
        <v>1</v>
      </c>
      <c r="Q104" s="43">
        <f>'Est gen ed 23 $$'!Q104/'Est gen ed 23 pos'!Q$123</f>
        <v>1</v>
      </c>
      <c r="R104" s="43">
        <f>'Est gen ed 23 $$'!R104/'Est gen ed 23 pos'!R$123</f>
        <v>1</v>
      </c>
      <c r="S104" s="43">
        <f>'Est gen ed 23 $$'!S104/'Est gen ed 23 pos'!S$123</f>
        <v>1</v>
      </c>
      <c r="T104" s="43">
        <f>'Est gen ed 23 $$'!T104/'Est gen ed 23 pos'!T$123</f>
        <v>2.9999999121515879</v>
      </c>
      <c r="U104" s="43">
        <f>'Est gen ed 23 $$'!U104/'Est gen ed 23 pos'!U$123</f>
        <v>0</v>
      </c>
      <c r="V104" s="43">
        <f>'Est gen ed 23 $$'!V104/'Est gen ed 23 pos'!V$123</f>
        <v>1.9999999121515879</v>
      </c>
      <c r="W104" s="43">
        <f>'Est gen ed 23 $$'!W104/'Est gen ed 23 pos'!W$123</f>
        <v>4.9999994893586166</v>
      </c>
      <c r="X104" s="34">
        <f>VLOOKUP($A104,'[1]Init $$'!$B$3:$CG$118,24,FALSE)</f>
        <v>134392.5</v>
      </c>
      <c r="Y104" s="34">
        <f>VLOOKUP($A104,'[1]Init $$'!$B$3:$CG$118,25,FALSE)</f>
        <v>380778.75</v>
      </c>
      <c r="Z104" s="34">
        <f>VLOOKUP($A104,'[1]Init $$'!$B$3:$CG$118,26,FALSE)</f>
        <v>0</v>
      </c>
      <c r="AA104" s="34">
        <f>VLOOKUP($A104,'[1]Init $$'!$B$3:$CG$118,27,FALSE)</f>
        <v>0</v>
      </c>
      <c r="AB104" s="43">
        <f>'Est gen ed 23 $$'!AB104/'Est gen ed 23 pos'!AB$123</f>
        <v>0</v>
      </c>
      <c r="AC104" s="43">
        <f>'Est gen ed 23 $$'!AC104/'Est gen ed 23 pos'!AC$123</f>
        <v>0</v>
      </c>
      <c r="AD104" s="43">
        <f>'Est gen ed 23 $$'!AD104/'Est gen ed 23 pos'!AD$123</f>
        <v>0</v>
      </c>
      <c r="AE104" s="43">
        <f>'Est gen ed 23 $$'!AE104/'Est gen ed 23 pos'!AE$123</f>
        <v>0</v>
      </c>
      <c r="AF104" s="34">
        <f>VLOOKUP($A104,'[1]Init $$'!$B$3:$CG$118,32,FALSE)</f>
        <v>0</v>
      </c>
      <c r="AG104" s="34">
        <f>VLOOKUP($A104,'[1]Init $$'!$B$3:$CG$118,33,FALSE)</f>
        <v>24375</v>
      </c>
      <c r="AH104" s="43">
        <f>'Est gen ed 23 $$'!AH104/'Est gen ed 23 pos'!AH$123</f>
        <v>1</v>
      </c>
      <c r="AI104" s="43">
        <f>'Est gen ed 23 $$'!AI104/'Est gen ed 23 pos'!AI$123</f>
        <v>1</v>
      </c>
      <c r="AJ104" s="43">
        <f>'Est gen ed 23 $$'!AJ104/'Est gen ed 23 pos'!AJ$123</f>
        <v>1.9999999121515879</v>
      </c>
      <c r="AK104" s="43">
        <f>'Est gen ed 23 $$'!AK104/'Est gen ed 23 pos'!AK$123</f>
        <v>2.9999999121515879</v>
      </c>
      <c r="AL104" s="43">
        <f>'Est gen ed 23 $$'!AL104/'Est gen ed 23 pos'!AL$123</f>
        <v>5.9999994893586166</v>
      </c>
      <c r="AM104" s="43">
        <f>'Est gen ed 23 $$'!AM104/'Est gen ed 23 pos'!AM$123</f>
        <v>0</v>
      </c>
      <c r="AN104" s="43">
        <f>'Est gen ed 23 $$'!AN104/'Est gen ed 23 pos'!AN$123</f>
        <v>0</v>
      </c>
      <c r="AO104" s="43">
        <f>'Est gen ed 23 $$'!AO104/'Est gen ed 23 pos'!AO$123</f>
        <v>0</v>
      </c>
      <c r="AP104" s="34">
        <f>VLOOKUP($A104,'[1]Init $$'!$B$3:$CG$118,42,FALSE)</f>
        <v>23294.7</v>
      </c>
      <c r="AQ104" s="34">
        <f>VLOOKUP($A104,'[1]Init $$'!$B$3:$CG$118,43,FALSE)</f>
        <v>0</v>
      </c>
      <c r="AR104" s="43">
        <f>'Est gen ed 23 $$'!AR104/'Est gen ed 23 pos'!AR$123</f>
        <v>0</v>
      </c>
      <c r="AS104" s="43">
        <f>'Est gen ed 23 $$'!AS104/'Est gen ed 23 pos'!AS$123</f>
        <v>0.17999999121515878</v>
      </c>
      <c r="AT104" s="43">
        <f>'Est gen ed 23 $$'!AT104/'Est gen ed 23 pos'!AT$123</f>
        <v>0</v>
      </c>
      <c r="AU104" s="34">
        <f>VLOOKUP($A104,'[1]Init $$'!$B$3:$CG$118,47,FALSE)</f>
        <v>7167.6</v>
      </c>
      <c r="AV104" s="34">
        <f>VLOOKUP($A104,'[1]Init $$'!$B$3:$CG$118,48,FALSE)</f>
        <v>0</v>
      </c>
      <c r="AW104" s="34">
        <f>VLOOKUP($A104,'[1]Init $$'!$B$3:$CG$118,49,FALSE)</f>
        <v>0</v>
      </c>
      <c r="AX104" s="34">
        <f>VLOOKUP($A104,'[1]Init $$'!$B$3:$CG$118,50,FALSE)</f>
        <v>0</v>
      </c>
      <c r="AY104" s="34">
        <f>VLOOKUP($A104,'[1]Init $$'!$B$3:$CG$118,51,FALSE)</f>
        <v>0</v>
      </c>
      <c r="AZ104" s="34">
        <f>VLOOKUP($A104,'[1]Init $$'!$B$3:$CG$118,52,FALSE)</f>
        <v>0</v>
      </c>
      <c r="BA104" s="34">
        <f>VLOOKUP($A104,'[1]Init $$'!$B$3:$CG$118,53,FALSE)</f>
        <v>0</v>
      </c>
      <c r="BB104" s="34">
        <f>VLOOKUP($A104,'[1]Init $$'!$B$3:$CG$118,54,FALSE)</f>
        <v>0</v>
      </c>
      <c r="BC104" s="34">
        <f>VLOOKUP($A104,'[1]Init $$'!$B$3:$CG$118,55,FALSE)</f>
        <v>0</v>
      </c>
      <c r="BD104" s="34">
        <f>VLOOKUP($A104,'[1]Init $$'!$B$3:$CG$118,56,FALSE)</f>
        <v>0</v>
      </c>
      <c r="BE104" s="34">
        <f>VLOOKUP($A104,'[1]Init $$'!$B$3:$CG$118,57,FALSE)</f>
        <v>1875</v>
      </c>
      <c r="BF104" s="43">
        <f>'Est gen ed 23 $$'!BF104/'Est gen ed 23 pos'!BF$123</f>
        <v>0</v>
      </c>
      <c r="BG104" s="43">
        <f>'Est gen ed 23 $$'!BG104/'Est gen ed 23 pos'!BG$123</f>
        <v>0</v>
      </c>
      <c r="BH104" s="34">
        <f>VLOOKUP($A104,'[1]Init $$'!$B$3:$CG$118,60,FALSE)</f>
        <v>0</v>
      </c>
      <c r="BI104" s="34">
        <f>VLOOKUP($A104,'[1]Init $$'!$B$3:$CG$118,61,FALSE)</f>
        <v>0</v>
      </c>
      <c r="BJ104" s="34">
        <f>VLOOKUP($A104,'[1]Init $$'!$B$3:$CG$118,62,FALSE)</f>
        <v>0</v>
      </c>
      <c r="BK104" s="43">
        <f>'Est gen ed 23 $$'!BK104/'Est gen ed 23 pos'!BK$123</f>
        <v>0</v>
      </c>
      <c r="BL104" s="34">
        <f>VLOOKUP($A104,'[1]Init $$'!$B$3:$CG$118,64,FALSE)</f>
        <v>0</v>
      </c>
      <c r="BM104" s="43">
        <f>'Est gen ed 23 $$'!BM104/'Est gen ed 23 pos'!BM$123</f>
        <v>0</v>
      </c>
      <c r="BN104" s="34">
        <f>VLOOKUP($A104,'[1]Init $$'!$B$3:$CG$118,66,FALSE)</f>
        <v>0</v>
      </c>
      <c r="BO104" s="43">
        <f>'Est gen ed 23 $$'!BO104/'Est gen ed 23 pos'!BO$123</f>
        <v>0</v>
      </c>
      <c r="BP104" s="34">
        <f>VLOOKUP($A104,'[1]Init $$'!$B$3:$CG$118,68,FALSE)</f>
        <v>0</v>
      </c>
      <c r="BQ104" s="43">
        <f>'Est gen ed 23 $$'!BQ104/'Est gen ed 23 pos'!BQ$123</f>
        <v>0</v>
      </c>
      <c r="BR104" s="43">
        <f>'Est gen ed 23 $$'!BR104/'Est gen ed 23 pos'!BR$123</f>
        <v>0</v>
      </c>
      <c r="BS104" s="34">
        <f>VLOOKUP($A104,'[1]Init $$'!$B$3:$CG$118,71,FALSE)</f>
        <v>0</v>
      </c>
      <c r="BT104" s="34">
        <f>VLOOKUP($A104,'[1]Init $$'!$B$3:$CG$118,72,FALSE)</f>
        <v>0</v>
      </c>
      <c r="BU104" s="34">
        <f>VLOOKUP($A104,'[1]Init $$'!$B$3:$CG$118,73,FALSE)</f>
        <v>0</v>
      </c>
      <c r="BV104" s="34">
        <f>VLOOKUP($A104,'[1]Init $$'!$B$3:$CG$118,74,FALSE)</f>
        <v>0</v>
      </c>
      <c r="BW104" s="34">
        <f>VLOOKUP($A104,'[1]Init $$'!$B$3:$CG$118,75,FALSE)</f>
        <v>0</v>
      </c>
      <c r="BX104" s="43">
        <f>'Est gen ed 23 $$'!BX104/'Est gen ed 23 pos'!BX$123</f>
        <v>0</v>
      </c>
      <c r="BY104" s="43">
        <f>'Est gen ed 23 $$'!BY104/'Est gen ed 23 pos'!BY$123</f>
        <v>0</v>
      </c>
      <c r="BZ104" s="43">
        <f>'Est gen ed 23 $$'!BZ104/'Est gen ed 23 pos'!BZ$123</f>
        <v>0</v>
      </c>
      <c r="CA104" s="34">
        <f>VLOOKUP($A104,'[1]Init $$'!$B$3:$CG$118,79,FALSE)</f>
        <v>42920.06</v>
      </c>
      <c r="CB104" s="34">
        <f>VLOOKUP($A104,'[1]Init $$'!$B$3:$CG$118,80,FALSE)</f>
        <v>0</v>
      </c>
      <c r="CC104" s="34">
        <f>VLOOKUP($A104,'[1]Init $$'!$B$3:$CG$118,81,FALSE)</f>
        <v>0</v>
      </c>
      <c r="CD104" s="34">
        <f>VLOOKUP($A104,'[1]Init $$'!$B$3:$CG$118,82,FALSE)</f>
        <v>0</v>
      </c>
      <c r="CE104" s="34">
        <f>VLOOKUP($A104,'[1]Init $$'!$B$3:$CG$118,83,FALSE)</f>
        <v>121884.98</v>
      </c>
      <c r="CF104" s="34">
        <f>VLOOKUP($A104,'[1]Init $$'!$B$3:$CG$118,84,FALSE)</f>
        <v>0</v>
      </c>
      <c r="CJ104" s="28">
        <f t="shared" si="6"/>
        <v>741101.91999861831</v>
      </c>
      <c r="CK104" s="43">
        <f>'Est gen ed 23 $$'!CK104/'Est gen ed 23 pos'!CK$123</f>
        <v>0.99999604682144683</v>
      </c>
      <c r="CL104" s="43">
        <f>'Est gen ed 23 $$'!CL104/'Est gen ed 23 pos'!CL$123</f>
        <v>0</v>
      </c>
      <c r="CM104" s="43">
        <f>'Est gen ed 23 $$'!CM104/'Est gen ed 23 pos'!CM$123</f>
        <v>0.5</v>
      </c>
      <c r="CN104" s="43">
        <f>'Est gen ed 23 $$'!CN104/'Est gen ed 23 pos'!CN$123</f>
        <v>0</v>
      </c>
      <c r="CO104" s="43">
        <f>'Est gen ed 23 $$'!CO104/'Est gen ed 23 pos'!CO$123</f>
        <v>0</v>
      </c>
      <c r="CP104" s="43">
        <f>'Est gen ed 23 $$'!CP104/'Est gen ed 23 pos'!CP$123</f>
        <v>0</v>
      </c>
      <c r="CQ104" s="43">
        <f>'Est gen ed 23 $$'!CQ104/'Est gen ed 23 pos'!CQ$123</f>
        <v>0.99999604682144683</v>
      </c>
      <c r="CR104" s="43">
        <f>'Est gen ed 23 $$'!CR104/'Est gen ed 23 pos'!CR$123</f>
        <v>0.99999604682144683</v>
      </c>
      <c r="CS104" s="43">
        <f>'Est gen ed 23 $$'!CS104/'Est gen ed 23 pos'!CS$123</f>
        <v>0.99999604682144683</v>
      </c>
      <c r="CT104" s="43">
        <f>'Est gen ed 23 $$'!CT104/'Est gen ed 23 pos'!CT$123</f>
        <v>0</v>
      </c>
      <c r="CU104" s="43" t="e">
        <f>'Est gen ed 23 $$'!CU104/'Est gen ed 23 pos'!CU$123</f>
        <v>#VALUE!</v>
      </c>
      <c r="CZ104" s="43">
        <f>'Est gen ed 23 $$'!CW104/'Est gen ed 23 pos'!CZ$123</f>
        <v>0</v>
      </c>
      <c r="DB104" s="28">
        <f t="shared" si="7"/>
        <v>0</v>
      </c>
      <c r="DC104" s="28">
        <f t="shared" si="4"/>
        <v>121884.98</v>
      </c>
      <c r="DK104" s="34"/>
      <c r="DL104" s="34"/>
    </row>
    <row r="105" spans="1:116" x14ac:dyDescent="0.2">
      <c r="A105">
        <v>321</v>
      </c>
      <c r="B105" t="s">
        <v>21</v>
      </c>
      <c r="C105" t="s">
        <v>7</v>
      </c>
      <c r="D105">
        <v>3</v>
      </c>
      <c r="E105">
        <f>VLOOKUP($A105,'[1]Init $$'!$B$3:$CG$118,4,FALSE)</f>
        <v>457</v>
      </c>
      <c r="F105">
        <f>VLOOKUP($A105,'[1]Init $$'!$B$3:$CG$118,6,FALSE)</f>
        <v>438</v>
      </c>
      <c r="G105">
        <f>VLOOKUP($A105,'[2]$$xSchpostCouncilxLevel'!$A$4:$EW$120,153,FALSE)</f>
        <v>434</v>
      </c>
      <c r="H105" s="50">
        <f t="shared" si="5"/>
        <v>4</v>
      </c>
      <c r="I105" s="4">
        <f>VLOOKUP($A105,'[1]Init $$'!$B$3:$CG$118,8,FALSE)</f>
        <v>7.4398249452954049E-2</v>
      </c>
      <c r="J105">
        <f>VLOOKUP($A105,'[1]Init $$'!$B$3:$CG$118,7,FALSE)</f>
        <v>34</v>
      </c>
      <c r="K105" s="43">
        <f>'Est gen ed 23 $$'!K105/'Est gen ed 23 pos'!K$123</f>
        <v>1</v>
      </c>
      <c r="L105" s="43">
        <f>'Est gen ed 23 $$'!L105/'Est gen ed 23 pos'!L$123</f>
        <v>0</v>
      </c>
      <c r="M105" s="43">
        <f>'Est gen ed 23 $$'!M105/'Est gen ed 23 pos'!M$123</f>
        <v>0</v>
      </c>
      <c r="N105" s="43">
        <f>'Est gen ed 23 $$'!N105/'Est gen ed 23 pos'!N$123</f>
        <v>1</v>
      </c>
      <c r="O105" s="34">
        <f>VLOOKUP($A105,'[1]Init $$'!$B$3:$CG$118,15,FALSE)</f>
        <v>6787.25</v>
      </c>
      <c r="P105" s="43">
        <f>'Est gen ed 23 $$'!P105/'Est gen ed 23 pos'!P$123</f>
        <v>1</v>
      </c>
      <c r="Q105" s="43">
        <f>'Est gen ed 23 $$'!Q105/'Est gen ed 23 pos'!Q$123</f>
        <v>1</v>
      </c>
      <c r="R105" s="43">
        <f>'Est gen ed 23 $$'!R105/'Est gen ed 23 pos'!R$123</f>
        <v>2.0000001953611113</v>
      </c>
      <c r="S105" s="43">
        <f>'Est gen ed 23 $$'!S105/'Est gen ed 23 pos'!S$123</f>
        <v>1</v>
      </c>
      <c r="T105" s="43">
        <f>'Est gen ed 23 $$'!T105/'Est gen ed 23 pos'!T$123</f>
        <v>0</v>
      </c>
      <c r="U105" s="43">
        <f>'Est gen ed 23 $$'!U105/'Est gen ed 23 pos'!U$123</f>
        <v>0</v>
      </c>
      <c r="V105" s="43">
        <f>'Est gen ed 23 $$'!V105/'Est gen ed 23 pos'!V$123</f>
        <v>1</v>
      </c>
      <c r="W105" s="43">
        <f>'Est gen ed 23 $$'!W105/'Est gen ed 23 pos'!W$123</f>
        <v>1</v>
      </c>
      <c r="X105" s="34">
        <f>VLOOKUP($A105,'[1]Init $$'!$B$3:$CG$118,24,FALSE)</f>
        <v>34046.1</v>
      </c>
      <c r="Y105" s="34">
        <f>VLOOKUP($A105,'[1]Init $$'!$B$3:$CG$118,25,FALSE)</f>
        <v>0</v>
      </c>
      <c r="Z105" s="34">
        <f>VLOOKUP($A105,'[1]Init $$'!$B$3:$CG$118,26,FALSE)</f>
        <v>0</v>
      </c>
      <c r="AA105" s="34">
        <f>VLOOKUP($A105,'[1]Init $$'!$B$3:$CG$118,27,FALSE)</f>
        <v>0</v>
      </c>
      <c r="AB105" s="43">
        <f>'Est gen ed 23 $$'!AB105/'Est gen ed 23 pos'!AB$123</f>
        <v>0</v>
      </c>
      <c r="AC105" s="43">
        <f>'Est gen ed 23 $$'!AC105/'Est gen ed 23 pos'!AC$123</f>
        <v>0</v>
      </c>
      <c r="AD105" s="43">
        <f>'Est gen ed 23 $$'!AD105/'Est gen ed 23 pos'!AD$123</f>
        <v>0</v>
      </c>
      <c r="AE105" s="43">
        <f>'Est gen ed 23 $$'!AE105/'Est gen ed 23 pos'!AE$123</f>
        <v>0</v>
      </c>
      <c r="AF105" s="34">
        <f>VLOOKUP($A105,'[1]Init $$'!$B$3:$CG$118,32,FALSE)</f>
        <v>2616174</v>
      </c>
      <c r="AG105" s="34">
        <f>VLOOKUP($A105,'[1]Init $$'!$B$3:$CG$118,33,FALSE)</f>
        <v>148525</v>
      </c>
      <c r="AH105" s="43">
        <f>'Est gen ed 23 $$'!AH105/'Est gen ed 23 pos'!AH$123</f>
        <v>1</v>
      </c>
      <c r="AI105" s="43">
        <f>'Est gen ed 23 $$'!AI105/'Est gen ed 23 pos'!AI$123</f>
        <v>1</v>
      </c>
      <c r="AJ105" s="43">
        <f>'Est gen ed 23 $$'!AJ105/'Est gen ed 23 pos'!AJ$123</f>
        <v>2.9999999121515879</v>
      </c>
      <c r="AK105" s="43">
        <f>'Est gen ed 23 $$'!AK105/'Est gen ed 23 pos'!AK$123</f>
        <v>0</v>
      </c>
      <c r="AL105" s="43">
        <f>'Est gen ed 23 $$'!AL105/'Est gen ed 23 pos'!AL$123</f>
        <v>0</v>
      </c>
      <c r="AM105" s="43">
        <f>'Est gen ed 23 $$'!AM105/'Est gen ed 23 pos'!AM$123</f>
        <v>0</v>
      </c>
      <c r="AN105" s="43">
        <f>'Est gen ed 23 $$'!AN105/'Est gen ed 23 pos'!AN$123</f>
        <v>0</v>
      </c>
      <c r="AO105" s="43">
        <f>'Est gen ed 23 $$'!AO105/'Est gen ed 23 pos'!AO$123</f>
        <v>0</v>
      </c>
      <c r="AP105" s="34">
        <f>VLOOKUP($A105,'[1]Init $$'!$B$3:$CG$118,42,FALSE)</f>
        <v>41213.699999999997</v>
      </c>
      <c r="AQ105" s="34">
        <f>VLOOKUP($A105,'[1]Init $$'!$B$3:$CG$118,43,FALSE)</f>
        <v>0</v>
      </c>
      <c r="AR105" s="43">
        <f>'Est gen ed 23 $$'!AR105/'Est gen ed 23 pos'!AR$123</f>
        <v>3.9999998243031758</v>
      </c>
      <c r="AS105" s="43">
        <f>'Est gen ed 23 $$'!AS105/'Est gen ed 23 pos'!AS$123</f>
        <v>0</v>
      </c>
      <c r="AT105" s="43">
        <f>'Est gen ed 23 $$'!AT105/'Est gen ed 23 pos'!AT$123</f>
        <v>0</v>
      </c>
      <c r="AU105" s="34">
        <f>VLOOKUP($A105,'[1]Init $$'!$B$3:$CG$118,47,FALSE)</f>
        <v>150519.6</v>
      </c>
      <c r="AV105" s="34">
        <f>VLOOKUP($A105,'[1]Init $$'!$B$3:$CG$118,48,FALSE)</f>
        <v>0</v>
      </c>
      <c r="AW105" s="34">
        <f>VLOOKUP($A105,'[1]Init $$'!$B$3:$CG$118,49,FALSE)</f>
        <v>0</v>
      </c>
      <c r="AX105" s="34">
        <f>VLOOKUP($A105,'[1]Init $$'!$B$3:$CG$118,50,FALSE)</f>
        <v>0</v>
      </c>
      <c r="AY105" s="34">
        <f>VLOOKUP($A105,'[1]Init $$'!$B$3:$CG$118,51,FALSE)</f>
        <v>0</v>
      </c>
      <c r="AZ105" s="34">
        <f>VLOOKUP($A105,'[1]Init $$'!$B$3:$CG$118,52,FALSE)</f>
        <v>0</v>
      </c>
      <c r="BA105" s="34">
        <f>VLOOKUP($A105,'[1]Init $$'!$B$3:$CG$118,53,FALSE)</f>
        <v>0</v>
      </c>
      <c r="BB105" s="34">
        <f>VLOOKUP($A105,'[1]Init $$'!$B$3:$CG$118,54,FALSE)</f>
        <v>0</v>
      </c>
      <c r="BC105" s="34">
        <f>VLOOKUP($A105,'[1]Init $$'!$B$3:$CG$118,55,FALSE)</f>
        <v>0</v>
      </c>
      <c r="BD105" s="34">
        <f>VLOOKUP($A105,'[1]Init $$'!$B$3:$CG$118,56,FALSE)</f>
        <v>0</v>
      </c>
      <c r="BE105" s="34">
        <f>VLOOKUP($A105,'[1]Init $$'!$B$3:$CG$118,57,FALSE)</f>
        <v>11425</v>
      </c>
      <c r="BF105" s="43">
        <f>'Est gen ed 23 $$'!BF105/'Est gen ed 23 pos'!BF$123</f>
        <v>0</v>
      </c>
      <c r="BG105" s="43">
        <f>'Est gen ed 23 $$'!BG105/'Est gen ed 23 pos'!BG$123</f>
        <v>0</v>
      </c>
      <c r="BH105" s="34">
        <f>VLOOKUP($A105,'[1]Init $$'!$B$3:$CG$118,60,FALSE)</f>
        <v>0</v>
      </c>
      <c r="BI105" s="34">
        <f>VLOOKUP($A105,'[1]Init $$'!$B$3:$CG$118,61,FALSE)</f>
        <v>0</v>
      </c>
      <c r="BJ105" s="34">
        <f>VLOOKUP($A105,'[1]Init $$'!$B$3:$CG$118,62,FALSE)</f>
        <v>0</v>
      </c>
      <c r="BK105" s="43">
        <f>'Est gen ed 23 $$'!BK105/'Est gen ed 23 pos'!BK$123</f>
        <v>0</v>
      </c>
      <c r="BL105" s="34">
        <f>VLOOKUP($A105,'[1]Init $$'!$B$3:$CG$118,64,FALSE)</f>
        <v>0</v>
      </c>
      <c r="BM105" s="43">
        <f>'Est gen ed 23 $$'!BM105/'Est gen ed 23 pos'!BM$123</f>
        <v>0</v>
      </c>
      <c r="BN105" s="34">
        <f>VLOOKUP($A105,'[1]Init $$'!$B$3:$CG$118,66,FALSE)</f>
        <v>0</v>
      </c>
      <c r="BO105" s="43">
        <f>'Est gen ed 23 $$'!BO105/'Est gen ed 23 pos'!BO$123</f>
        <v>0</v>
      </c>
      <c r="BP105" s="34">
        <f>VLOOKUP($A105,'[1]Init $$'!$B$3:$CG$118,68,FALSE)</f>
        <v>0</v>
      </c>
      <c r="BQ105" s="43">
        <f>'Est gen ed 23 $$'!BQ105/'Est gen ed 23 pos'!BQ$123</f>
        <v>0</v>
      </c>
      <c r="BR105" s="43">
        <f>'Est gen ed 23 $$'!BR105/'Est gen ed 23 pos'!BR$123</f>
        <v>0</v>
      </c>
      <c r="BS105" s="34">
        <f>VLOOKUP($A105,'[1]Init $$'!$B$3:$CG$118,71,FALSE)</f>
        <v>0</v>
      </c>
      <c r="BT105" s="34">
        <f>VLOOKUP($A105,'[1]Init $$'!$B$3:$CG$118,72,FALSE)</f>
        <v>0</v>
      </c>
      <c r="BU105" s="34">
        <f>VLOOKUP($A105,'[1]Init $$'!$B$3:$CG$118,73,FALSE)</f>
        <v>0</v>
      </c>
      <c r="BV105" s="34">
        <f>VLOOKUP($A105,'[1]Init $$'!$B$3:$CG$118,74,FALSE)</f>
        <v>0</v>
      </c>
      <c r="BW105" s="34">
        <f>VLOOKUP($A105,'[1]Init $$'!$B$3:$CG$118,75,FALSE)</f>
        <v>0</v>
      </c>
      <c r="BX105" s="43">
        <f>'Est gen ed 23 $$'!BX105/'Est gen ed 23 pos'!BX$123</f>
        <v>0</v>
      </c>
      <c r="BY105" s="43">
        <f>'Est gen ed 23 $$'!BY105/'Est gen ed 23 pos'!BY$123</f>
        <v>0</v>
      </c>
      <c r="BZ105" s="43">
        <f>'Est gen ed 23 $$'!BZ105/'Est gen ed 23 pos'!BZ$123</f>
        <v>0</v>
      </c>
      <c r="CA105" s="34">
        <f>VLOOKUP($A105,'[1]Init $$'!$B$3:$CG$118,79,FALSE)</f>
        <v>91205.14</v>
      </c>
      <c r="CB105" s="34">
        <f>VLOOKUP($A105,'[1]Init $$'!$B$3:$CG$118,80,FALSE)</f>
        <v>0</v>
      </c>
      <c r="CC105" s="34">
        <f>VLOOKUP($A105,'[1]Init $$'!$B$3:$CG$118,81,FALSE)</f>
        <v>292820.32</v>
      </c>
      <c r="CD105" s="34">
        <f>VLOOKUP($A105,'[1]Init $$'!$B$3:$CG$118,82,FALSE)</f>
        <v>108405.24</v>
      </c>
      <c r="CE105" s="34">
        <f>VLOOKUP($A105,'[1]Init $$'!$B$3:$CG$118,83,FALSE)</f>
        <v>272962.71999999997</v>
      </c>
      <c r="CF105" s="34">
        <f>VLOOKUP($A105,'[1]Init $$'!$B$3:$CG$118,84,FALSE)</f>
        <v>387043.16</v>
      </c>
      <c r="CJ105" s="28">
        <f t="shared" si="6"/>
        <v>4161145.2299999325</v>
      </c>
      <c r="CK105" s="43">
        <f>'Est gen ed 23 $$'!CK105/'Est gen ed 23 pos'!CK$123</f>
        <v>0.99999604682144683</v>
      </c>
      <c r="CL105" s="43">
        <f>'Est gen ed 23 $$'!CL105/'Est gen ed 23 pos'!CL$123</f>
        <v>1.1425000000000001</v>
      </c>
      <c r="CM105" s="43">
        <f>'Est gen ed 23 $$'!CM105/'Est gen ed 23 pos'!CM$123</f>
        <v>1</v>
      </c>
      <c r="CN105" s="43">
        <f>'Est gen ed 23 $$'!CN105/'Est gen ed 23 pos'!CN$123</f>
        <v>0.87527352297592997</v>
      </c>
      <c r="CO105" s="43">
        <f>'Est gen ed 23 $$'!CO105/'Est gen ed 23 pos'!CO$123</f>
        <v>0</v>
      </c>
      <c r="CP105" s="43">
        <f>'Est gen ed 23 $$'!CP105/'Est gen ed 23 pos'!CP$123</f>
        <v>0</v>
      </c>
      <c r="CQ105" s="43">
        <f>'Est gen ed 23 $$'!CQ105/'Est gen ed 23 pos'!CQ$123</f>
        <v>0.99999604682144683</v>
      </c>
      <c r="CR105" s="43">
        <f>'Est gen ed 23 $$'!CR105/'Est gen ed 23 pos'!CR$123</f>
        <v>0.99999604682144683</v>
      </c>
      <c r="CS105" s="43">
        <f>'Est gen ed 23 $$'!CS105/'Est gen ed 23 pos'!CS$123</f>
        <v>1.9999920936428937</v>
      </c>
      <c r="CT105" s="43">
        <f>'Est gen ed 23 $$'!CT105/'Est gen ed 23 pos'!CT$123</f>
        <v>4</v>
      </c>
      <c r="CU105" s="43">
        <f>'Est gen ed 23 $$'!CU105/'Est gen ed 23 pos'!CU$123</f>
        <v>22</v>
      </c>
      <c r="CZ105" s="43">
        <f>'Est gen ed 23 $$'!CW105/'Est gen ed 23 pos'!CZ$123</f>
        <v>0</v>
      </c>
      <c r="DB105" s="28">
        <f t="shared" si="7"/>
        <v>2616174</v>
      </c>
      <c r="DC105" s="28">
        <f t="shared" si="4"/>
        <v>1061231.44</v>
      </c>
      <c r="DK105" s="34"/>
      <c r="DL105" s="34"/>
    </row>
    <row r="106" spans="1:116" x14ac:dyDescent="0.2">
      <c r="A106">
        <v>428</v>
      </c>
      <c r="B106" t="s">
        <v>20</v>
      </c>
      <c r="C106" t="s">
        <v>19</v>
      </c>
      <c r="D106">
        <v>6</v>
      </c>
      <c r="E106">
        <f>VLOOKUP($A106,'[1]Init $$'!$B$3:$CG$118,4,FALSE)</f>
        <v>507</v>
      </c>
      <c r="F106">
        <f>VLOOKUP($A106,'[1]Init $$'!$B$3:$CG$118,6,FALSE)</f>
        <v>507</v>
      </c>
      <c r="G106">
        <f>VLOOKUP($A106,'[2]$$xSchpostCouncilxLevel'!$A$4:$EW$120,153,FALSE)</f>
        <v>507</v>
      </c>
      <c r="H106" s="50">
        <f t="shared" si="5"/>
        <v>0</v>
      </c>
      <c r="I106" s="4">
        <f>VLOOKUP($A106,'[1]Init $$'!$B$3:$CG$118,8,FALSE)</f>
        <v>0.34516765285996054</v>
      </c>
      <c r="J106">
        <f>VLOOKUP($A106,'[1]Init $$'!$B$3:$CG$118,7,FALSE)</f>
        <v>175</v>
      </c>
      <c r="K106" s="43">
        <f>'Est gen ed 23 $$'!K106/'Est gen ed 23 pos'!K$123</f>
        <v>1</v>
      </c>
      <c r="L106" s="43">
        <f>'Est gen ed 23 $$'!L106/'Est gen ed 23 pos'!L$123</f>
        <v>1.4999999560757939</v>
      </c>
      <c r="M106" s="43">
        <f>'Est gen ed 23 $$'!M106/'Est gen ed 23 pos'!M$123</f>
        <v>0</v>
      </c>
      <c r="N106" s="43">
        <f>'Est gen ed 23 $$'!N106/'Est gen ed 23 pos'!N$123</f>
        <v>1</v>
      </c>
      <c r="O106" s="34">
        <f>VLOOKUP($A106,'[1]Init $$'!$B$3:$CG$118,15,FALSE)</f>
        <v>8905.7999999999993</v>
      </c>
      <c r="P106" s="43">
        <f>'Est gen ed 23 $$'!P106/'Est gen ed 23 pos'!P$123</f>
        <v>1</v>
      </c>
      <c r="Q106" s="43">
        <f>'Est gen ed 23 $$'!Q106/'Est gen ed 23 pos'!Q$123</f>
        <v>1</v>
      </c>
      <c r="R106" s="43">
        <f>'Est gen ed 23 $$'!R106/'Est gen ed 23 pos'!R$123</f>
        <v>4.0000003907222226</v>
      </c>
      <c r="S106" s="43">
        <f>'Est gen ed 23 $$'!S106/'Est gen ed 23 pos'!S$123</f>
        <v>1</v>
      </c>
      <c r="T106" s="43">
        <f>'Est gen ed 23 $$'!T106/'Est gen ed 23 pos'!T$123</f>
        <v>0</v>
      </c>
      <c r="U106" s="43">
        <f>'Est gen ed 23 $$'!U106/'Est gen ed 23 pos'!U$123</f>
        <v>0</v>
      </c>
      <c r="V106" s="43">
        <f>'Est gen ed 23 $$'!V106/'Est gen ed 23 pos'!V$123</f>
        <v>0</v>
      </c>
      <c r="W106" s="43">
        <f>'Est gen ed 23 $$'!W106/'Est gen ed 23 pos'!W$123</f>
        <v>0</v>
      </c>
      <c r="X106" s="34">
        <f>VLOOKUP($A106,'[1]Init $$'!$B$3:$CG$118,24,FALSE)</f>
        <v>0</v>
      </c>
      <c r="Y106" s="34">
        <f>VLOOKUP($A106,'[1]Init $$'!$B$3:$CG$118,25,FALSE)</f>
        <v>0</v>
      </c>
      <c r="Z106" s="34">
        <f>VLOOKUP($A106,'[1]Init $$'!$B$3:$CG$118,26,FALSE)</f>
        <v>0</v>
      </c>
      <c r="AA106" s="34">
        <f>VLOOKUP($A106,'[1]Init $$'!$B$3:$CG$118,27,FALSE)</f>
        <v>0</v>
      </c>
      <c r="AB106" s="43">
        <f>'Est gen ed 23 $$'!AB106/'Est gen ed 23 pos'!AB$123</f>
        <v>0</v>
      </c>
      <c r="AC106" s="43">
        <f>'Est gen ed 23 $$'!AC106/'Est gen ed 23 pos'!AC$123</f>
        <v>0</v>
      </c>
      <c r="AD106" s="43">
        <f>'Est gen ed 23 $$'!AD106/'Est gen ed 23 pos'!AD$123</f>
        <v>0</v>
      </c>
      <c r="AE106" s="43">
        <f>'Est gen ed 23 $$'!AE106/'Est gen ed 23 pos'!AE$123</f>
        <v>0</v>
      </c>
      <c r="AF106" s="34">
        <f>VLOOKUP($A106,'[1]Init $$'!$B$3:$CG$118,32,FALSE)</f>
        <v>3028311</v>
      </c>
      <c r="AG106" s="34">
        <f>VLOOKUP($A106,'[1]Init $$'!$B$3:$CG$118,33,FALSE)</f>
        <v>173394</v>
      </c>
      <c r="AH106" s="43">
        <f>'Est gen ed 23 $$'!AH106/'Est gen ed 23 pos'!AH$123</f>
        <v>1</v>
      </c>
      <c r="AI106" s="43">
        <f>'Est gen ed 23 $$'!AI106/'Est gen ed 23 pos'!AI$123</f>
        <v>1.9999999121515879</v>
      </c>
      <c r="AJ106" s="43">
        <f>'Est gen ed 23 $$'!AJ106/'Est gen ed 23 pos'!AJ$123</f>
        <v>6.9999997364547637</v>
      </c>
      <c r="AK106" s="43">
        <f>'Est gen ed 23 $$'!AK106/'Est gen ed 23 pos'!AK$123</f>
        <v>1.9999999121515879</v>
      </c>
      <c r="AL106" s="43">
        <f>'Est gen ed 23 $$'!AL106/'Est gen ed 23 pos'!AL$123</f>
        <v>2.9999997446793083</v>
      </c>
      <c r="AM106" s="43">
        <f>'Est gen ed 23 $$'!AM106/'Est gen ed 23 pos'!AM$123</f>
        <v>0</v>
      </c>
      <c r="AN106" s="43">
        <f>'Est gen ed 23 $$'!AN106/'Est gen ed 23 pos'!AN$123</f>
        <v>0</v>
      </c>
      <c r="AO106" s="43">
        <f>'Est gen ed 23 $$'!AO106/'Est gen ed 23 pos'!AO$123</f>
        <v>0</v>
      </c>
      <c r="AP106" s="34">
        <f>VLOOKUP($A106,'[1]Init $$'!$B$3:$CG$118,42,FALSE)</f>
        <v>146935.79999999999</v>
      </c>
      <c r="AQ106" s="34">
        <f>VLOOKUP($A106,'[1]Init $$'!$B$3:$CG$118,43,FALSE)</f>
        <v>0</v>
      </c>
      <c r="AR106" s="43">
        <f>'Est gen ed 23 $$'!AR106/'Est gen ed 23 pos'!AR$123</f>
        <v>0</v>
      </c>
      <c r="AS106" s="43">
        <f>'Est gen ed 23 $$'!AS106/'Est gen ed 23 pos'!AS$123</f>
        <v>0.22999996925305569</v>
      </c>
      <c r="AT106" s="43">
        <f>'Est gen ed 23 $$'!AT106/'Est gen ed 23 pos'!AT$123</f>
        <v>0</v>
      </c>
      <c r="AU106" s="34">
        <f>VLOOKUP($A106,'[1]Init $$'!$B$3:$CG$118,47,FALSE)</f>
        <v>8959.5</v>
      </c>
      <c r="AV106" s="34">
        <f>VLOOKUP($A106,'[1]Init $$'!$B$3:$CG$118,48,FALSE)</f>
        <v>0</v>
      </c>
      <c r="AW106" s="34">
        <f>VLOOKUP($A106,'[1]Init $$'!$B$3:$CG$118,49,FALSE)</f>
        <v>0</v>
      </c>
      <c r="AX106" s="34">
        <f>VLOOKUP($A106,'[1]Init $$'!$B$3:$CG$118,50,FALSE)</f>
        <v>0</v>
      </c>
      <c r="AY106" s="34">
        <f>VLOOKUP($A106,'[1]Init $$'!$B$3:$CG$118,51,FALSE)</f>
        <v>0</v>
      </c>
      <c r="AZ106" s="34">
        <f>VLOOKUP($A106,'[1]Init $$'!$B$3:$CG$118,52,FALSE)</f>
        <v>0</v>
      </c>
      <c r="BA106" s="34">
        <f>VLOOKUP($A106,'[1]Init $$'!$B$3:$CG$118,53,FALSE)</f>
        <v>0</v>
      </c>
      <c r="BB106" s="34">
        <f>VLOOKUP($A106,'[1]Init $$'!$B$3:$CG$118,54,FALSE)</f>
        <v>0</v>
      </c>
      <c r="BC106" s="34">
        <f>VLOOKUP($A106,'[1]Init $$'!$B$3:$CG$118,55,FALSE)</f>
        <v>141140.04999999999</v>
      </c>
      <c r="BD106" s="34">
        <f>VLOOKUP($A106,'[1]Init $$'!$B$3:$CG$118,56,FALSE)</f>
        <v>2273.42</v>
      </c>
      <c r="BE106" s="34">
        <f>VLOOKUP($A106,'[1]Init $$'!$B$3:$CG$118,57,FALSE)</f>
        <v>0</v>
      </c>
      <c r="BF106" s="43">
        <f>'Est gen ed 23 $$'!BF106/'Est gen ed 23 pos'!BF$123</f>
        <v>0</v>
      </c>
      <c r="BG106" s="43">
        <f>'Est gen ed 23 $$'!BG106/'Est gen ed 23 pos'!BG$123</f>
        <v>0</v>
      </c>
      <c r="BH106" s="34">
        <f>VLOOKUP($A106,'[1]Init $$'!$B$3:$CG$118,60,FALSE)</f>
        <v>0</v>
      </c>
      <c r="BI106" s="34">
        <f>VLOOKUP($A106,'[1]Init $$'!$B$3:$CG$118,61,FALSE)</f>
        <v>0</v>
      </c>
      <c r="BJ106" s="34">
        <f>VLOOKUP($A106,'[1]Init $$'!$B$3:$CG$118,62,FALSE)</f>
        <v>0</v>
      </c>
      <c r="BK106" s="43">
        <f>'Est gen ed 23 $$'!BK106/'Est gen ed 23 pos'!BK$123</f>
        <v>0</v>
      </c>
      <c r="BL106" s="34">
        <f>VLOOKUP($A106,'[1]Init $$'!$B$3:$CG$118,64,FALSE)</f>
        <v>0</v>
      </c>
      <c r="BM106" s="43">
        <f>'Est gen ed 23 $$'!BM106/'Est gen ed 23 pos'!BM$123</f>
        <v>0</v>
      </c>
      <c r="BN106" s="34">
        <f>VLOOKUP($A106,'[1]Init $$'!$B$3:$CG$118,66,FALSE)</f>
        <v>0</v>
      </c>
      <c r="BO106" s="43">
        <f>'Est gen ed 23 $$'!BO106/'Est gen ed 23 pos'!BO$123</f>
        <v>0</v>
      </c>
      <c r="BP106" s="34">
        <f>VLOOKUP($A106,'[1]Init $$'!$B$3:$CG$118,68,FALSE)</f>
        <v>0</v>
      </c>
      <c r="BQ106" s="43">
        <f>'Est gen ed 23 $$'!BQ106/'Est gen ed 23 pos'!BQ$123</f>
        <v>0</v>
      </c>
      <c r="BR106" s="43">
        <f>'Est gen ed 23 $$'!BR106/'Est gen ed 23 pos'!BR$123</f>
        <v>0</v>
      </c>
      <c r="BS106" s="34">
        <f>VLOOKUP($A106,'[1]Init $$'!$B$3:$CG$118,71,FALSE)</f>
        <v>0</v>
      </c>
      <c r="BT106" s="34">
        <f>VLOOKUP($A106,'[1]Init $$'!$B$3:$CG$118,72,FALSE)</f>
        <v>0</v>
      </c>
      <c r="BU106" s="34">
        <f>VLOOKUP($A106,'[1]Init $$'!$B$3:$CG$118,73,FALSE)</f>
        <v>0</v>
      </c>
      <c r="BV106" s="34">
        <f>VLOOKUP($A106,'[1]Init $$'!$B$3:$CG$118,74,FALSE)</f>
        <v>0</v>
      </c>
      <c r="BW106" s="34">
        <f>VLOOKUP($A106,'[1]Init $$'!$B$3:$CG$118,75,FALSE)</f>
        <v>55921</v>
      </c>
      <c r="BX106" s="43">
        <f>'Est gen ed 23 $$'!BX106/'Est gen ed 23 pos'!BX$123</f>
        <v>0</v>
      </c>
      <c r="BY106" s="43">
        <f>'Est gen ed 23 $$'!BY106/'Est gen ed 23 pos'!BY$123</f>
        <v>0</v>
      </c>
      <c r="BZ106" s="43">
        <f>'Est gen ed 23 $$'!BZ106/'Est gen ed 23 pos'!BZ$123</f>
        <v>0</v>
      </c>
      <c r="CA106" s="34">
        <f>VLOOKUP($A106,'[1]Init $$'!$B$3:$CG$118,79,FALSE)</f>
        <v>469438.2</v>
      </c>
      <c r="CB106" s="34">
        <f>VLOOKUP($A106,'[1]Init $$'!$B$3:$CG$118,80,FALSE)</f>
        <v>0</v>
      </c>
      <c r="CC106" s="34">
        <f>VLOOKUP($A106,'[1]Init $$'!$B$3:$CG$118,81,FALSE)</f>
        <v>146665.41</v>
      </c>
      <c r="CD106" s="34">
        <f>VLOOKUP($A106,'[1]Init $$'!$B$3:$CG$118,82,FALSE)</f>
        <v>17408.14</v>
      </c>
      <c r="CE106" s="34">
        <f>VLOOKUP($A106,'[1]Init $$'!$B$3:$CG$118,83,FALSE)</f>
        <v>0</v>
      </c>
      <c r="CF106" s="34">
        <f>VLOOKUP($A106,'[1]Init $$'!$B$3:$CG$118,84,FALSE)</f>
        <v>0</v>
      </c>
      <c r="CJ106" s="28">
        <f t="shared" si="6"/>
        <v>4199378.0499996208</v>
      </c>
      <c r="CK106" s="43">
        <f>'Est gen ed 23 $$'!CK106/'Est gen ed 23 pos'!CK$123</f>
        <v>0.99999604682144683</v>
      </c>
      <c r="CL106" s="43">
        <f>'Est gen ed 23 $$'!CL106/'Est gen ed 23 pos'!CL$123</f>
        <v>1.6899999999999997</v>
      </c>
      <c r="CM106" s="43">
        <f>'Est gen ed 23 $$'!CM106/'Est gen ed 23 pos'!CM$123</f>
        <v>1</v>
      </c>
      <c r="CN106" s="43">
        <f>'Est gen ed 23 $$'!CN106/'Est gen ed 23 pos'!CN$123</f>
        <v>0.78895463510848129</v>
      </c>
      <c r="CO106" s="43">
        <f>'Est gen ed 23 $$'!CO106/'Est gen ed 23 pos'!CO$123</f>
        <v>0</v>
      </c>
      <c r="CP106" s="43">
        <f>'Est gen ed 23 $$'!CP106/'Est gen ed 23 pos'!CP$123</f>
        <v>0</v>
      </c>
      <c r="CQ106" s="43">
        <f>'Est gen ed 23 $$'!CQ106/'Est gen ed 23 pos'!CQ$123</f>
        <v>0</v>
      </c>
      <c r="CR106" s="43">
        <f>'Est gen ed 23 $$'!CR106/'Est gen ed 23 pos'!CR$123</f>
        <v>0</v>
      </c>
      <c r="CS106" s="43">
        <f>'Est gen ed 23 $$'!CS106/'Est gen ed 23 pos'!CS$123</f>
        <v>0</v>
      </c>
      <c r="CT106" s="43">
        <f>'Est gen ed 23 $$'!CT106/'Est gen ed 23 pos'!CT$123</f>
        <v>0</v>
      </c>
      <c r="CU106" s="43">
        <f>'Est gen ed 23 $$'!CU106/'Est gen ed 23 pos'!CU$123</f>
        <v>27</v>
      </c>
      <c r="CZ106" s="43">
        <f>'Est gen ed 23 $$'!CW106/'Est gen ed 23 pos'!CZ$123</f>
        <v>0</v>
      </c>
      <c r="DB106" s="28">
        <f t="shared" si="7"/>
        <v>3028311</v>
      </c>
      <c r="DC106" s="28">
        <f t="shared" si="4"/>
        <v>164073.54999999999</v>
      </c>
      <c r="DK106" s="34"/>
      <c r="DL106" s="34"/>
    </row>
    <row r="107" spans="1:116" x14ac:dyDescent="0.2">
      <c r="A107">
        <v>324</v>
      </c>
      <c r="B107" t="s">
        <v>18</v>
      </c>
      <c r="C107" t="s">
        <v>7</v>
      </c>
      <c r="D107">
        <v>4</v>
      </c>
      <c r="E107">
        <f>VLOOKUP($A107,'[1]Init $$'!$B$3:$CG$118,4,FALSE)</f>
        <v>413</v>
      </c>
      <c r="F107">
        <f>VLOOKUP($A107,'[1]Init $$'!$B$3:$CG$118,6,FALSE)</f>
        <v>316</v>
      </c>
      <c r="G107">
        <f>VLOOKUP($A107,'[2]$$xSchpostCouncilxLevel'!$A$4:$EW$120,153,FALSE)</f>
        <v>327</v>
      </c>
      <c r="H107" s="50">
        <f t="shared" si="5"/>
        <v>-11</v>
      </c>
      <c r="I107" s="4">
        <f>VLOOKUP($A107,'[1]Init $$'!$B$3:$CG$118,8,FALSE)</f>
        <v>0.41404358353510895</v>
      </c>
      <c r="J107">
        <f>VLOOKUP($A107,'[1]Init $$'!$B$3:$CG$118,7,FALSE)</f>
        <v>171</v>
      </c>
      <c r="K107" s="43">
        <f>'Est gen ed 23 $$'!K107/'Est gen ed 23 pos'!K$123</f>
        <v>1</v>
      </c>
      <c r="L107" s="43">
        <f>'Est gen ed 23 $$'!L107/'Est gen ed 23 pos'!L$123</f>
        <v>0</v>
      </c>
      <c r="M107" s="43">
        <f>'Est gen ed 23 $$'!M107/'Est gen ed 23 pos'!M$123</f>
        <v>0</v>
      </c>
      <c r="N107" s="43">
        <f>'Est gen ed 23 $$'!N107/'Est gen ed 23 pos'!N$123</f>
        <v>1</v>
      </c>
      <c r="O107" s="34">
        <f>VLOOKUP($A107,'[1]Init $$'!$B$3:$CG$118,15,FALSE)</f>
        <v>8480.75</v>
      </c>
      <c r="P107" s="43">
        <f>'Est gen ed 23 $$'!P107/'Est gen ed 23 pos'!P$123</f>
        <v>1</v>
      </c>
      <c r="Q107" s="43">
        <f>'Est gen ed 23 $$'!Q107/'Est gen ed 23 pos'!Q$123</f>
        <v>1</v>
      </c>
      <c r="R107" s="43">
        <f>'Est gen ed 23 $$'!R107/'Est gen ed 23 pos'!R$123</f>
        <v>3.0000001953611113</v>
      </c>
      <c r="S107" s="43">
        <f>'Est gen ed 23 $$'!S107/'Est gen ed 23 pos'!S$123</f>
        <v>1</v>
      </c>
      <c r="T107" s="43">
        <f>'Est gen ed 23 $$'!T107/'Est gen ed 23 pos'!T$123</f>
        <v>1.9999999121515879</v>
      </c>
      <c r="U107" s="43">
        <f>'Est gen ed 23 $$'!U107/'Est gen ed 23 pos'!U$123</f>
        <v>1.9999999121515879</v>
      </c>
      <c r="V107" s="43">
        <f>'Est gen ed 23 $$'!V107/'Est gen ed 23 pos'!V$123</f>
        <v>1.9999999121515879</v>
      </c>
      <c r="W107" s="43">
        <f>'Est gen ed 23 $$'!W107/'Est gen ed 23 pos'!W$123</f>
        <v>5.9999994893586166</v>
      </c>
      <c r="X107" s="34">
        <f>VLOOKUP($A107,'[1]Init $$'!$B$3:$CG$118,24,FALSE)</f>
        <v>173814.3</v>
      </c>
      <c r="Y107" s="34">
        <f>VLOOKUP($A107,'[1]Init $$'!$B$3:$CG$118,25,FALSE)</f>
        <v>0</v>
      </c>
      <c r="Z107" s="34">
        <f>VLOOKUP($A107,'[1]Init $$'!$B$3:$CG$118,26,FALSE)</f>
        <v>0</v>
      </c>
      <c r="AA107" s="34">
        <f>VLOOKUP($A107,'[1]Init $$'!$B$3:$CG$118,27,FALSE)</f>
        <v>0</v>
      </c>
      <c r="AB107" s="43">
        <f>'Est gen ed 23 $$'!AB107/'Est gen ed 23 pos'!AB$123</f>
        <v>0</v>
      </c>
      <c r="AC107" s="43">
        <f>'Est gen ed 23 $$'!AC107/'Est gen ed 23 pos'!AC$123</f>
        <v>0</v>
      </c>
      <c r="AD107" s="43">
        <f>'Est gen ed 23 $$'!AD107/'Est gen ed 23 pos'!AD$123</f>
        <v>0</v>
      </c>
      <c r="AE107" s="43">
        <f>'Est gen ed 23 $$'!AE107/'Est gen ed 23 pos'!AE$123</f>
        <v>0</v>
      </c>
      <c r="AF107" s="34">
        <f>VLOOKUP($A107,'[1]Init $$'!$B$3:$CG$118,32,FALSE)</f>
        <v>1887468</v>
      </c>
      <c r="AG107" s="34">
        <f>VLOOKUP($A107,'[1]Init $$'!$B$3:$CG$118,33,FALSE)</f>
        <v>134225</v>
      </c>
      <c r="AH107" s="43">
        <f>'Est gen ed 23 $$'!AH107/'Est gen ed 23 pos'!AH$123</f>
        <v>1</v>
      </c>
      <c r="AI107" s="43">
        <f>'Est gen ed 23 $$'!AI107/'Est gen ed 23 pos'!AI$123</f>
        <v>1.9999999121515879</v>
      </c>
      <c r="AJ107" s="43">
        <f>'Est gen ed 23 $$'!AJ107/'Est gen ed 23 pos'!AJ$123</f>
        <v>2.9999999121515879</v>
      </c>
      <c r="AK107" s="43">
        <f>'Est gen ed 23 $$'!AK107/'Est gen ed 23 pos'!AK$123</f>
        <v>3.9999998243031758</v>
      </c>
      <c r="AL107" s="43">
        <f>'Est gen ed 23 $$'!AL107/'Est gen ed 23 pos'!AL$123</f>
        <v>7.999999234037924</v>
      </c>
      <c r="AM107" s="43">
        <f>'Est gen ed 23 $$'!AM107/'Est gen ed 23 pos'!AM$123</f>
        <v>0</v>
      </c>
      <c r="AN107" s="43">
        <f>'Est gen ed 23 $$'!AN107/'Est gen ed 23 pos'!AN$123</f>
        <v>0</v>
      </c>
      <c r="AO107" s="43">
        <f>'Est gen ed 23 $$'!AO107/'Est gen ed 23 pos'!AO$123</f>
        <v>1</v>
      </c>
      <c r="AP107" s="34">
        <f>VLOOKUP($A107,'[1]Init $$'!$B$3:$CG$118,42,FALSE)</f>
        <v>132600.6</v>
      </c>
      <c r="AQ107" s="34">
        <f>VLOOKUP($A107,'[1]Init $$'!$B$3:$CG$118,43,FALSE)</f>
        <v>0</v>
      </c>
      <c r="AR107" s="43">
        <f>'Est gen ed 23 $$'!AR107/'Est gen ed 23 pos'!AR$123</f>
        <v>7.4999997803789693</v>
      </c>
      <c r="AS107" s="43">
        <f>'Est gen ed 23 $$'!AS107/'Est gen ed 23 pos'!AS$123</f>
        <v>0</v>
      </c>
      <c r="AT107" s="43">
        <f>'Est gen ed 23 $$'!AT107/'Est gen ed 23 pos'!AT$123</f>
        <v>1</v>
      </c>
      <c r="AU107" s="34">
        <f>VLOOKUP($A107,'[1]Init $$'!$B$3:$CG$118,47,FALSE)</f>
        <v>292079.7</v>
      </c>
      <c r="AV107" s="34">
        <f>VLOOKUP($A107,'[1]Init $$'!$B$3:$CG$118,48,FALSE)</f>
        <v>20400</v>
      </c>
      <c r="AW107" s="34">
        <f>VLOOKUP($A107,'[1]Init $$'!$B$3:$CG$118,49,FALSE)</f>
        <v>20400</v>
      </c>
      <c r="AX107" s="34">
        <f>VLOOKUP($A107,'[1]Init $$'!$B$3:$CG$118,50,FALSE)</f>
        <v>10200</v>
      </c>
      <c r="AY107" s="34">
        <f>VLOOKUP($A107,'[1]Init $$'!$B$3:$CG$118,51,FALSE)</f>
        <v>0</v>
      </c>
      <c r="AZ107" s="34">
        <f>VLOOKUP($A107,'[1]Init $$'!$B$3:$CG$118,52,FALSE)</f>
        <v>54400</v>
      </c>
      <c r="BA107" s="34">
        <f>VLOOKUP($A107,'[1]Init $$'!$B$3:$CG$118,53,FALSE)</f>
        <v>0</v>
      </c>
      <c r="BB107" s="34">
        <f>VLOOKUP($A107,'[1]Init $$'!$B$3:$CG$118,54,FALSE)</f>
        <v>54400</v>
      </c>
      <c r="BC107" s="34">
        <f>VLOOKUP($A107,'[1]Init $$'!$B$3:$CG$118,55,FALSE)</f>
        <v>129883.48</v>
      </c>
      <c r="BD107" s="34">
        <f>VLOOKUP($A107,'[1]Init $$'!$B$3:$CG$118,56,FALSE)</f>
        <v>2092.1</v>
      </c>
      <c r="BE107" s="34">
        <f>VLOOKUP($A107,'[1]Init $$'!$B$3:$CG$118,57,FALSE)</f>
        <v>0</v>
      </c>
      <c r="BF107" s="43">
        <f>'Est gen ed 23 $$'!BF107/'Est gen ed 23 pos'!BF$123</f>
        <v>0</v>
      </c>
      <c r="BG107" s="43">
        <f>'Est gen ed 23 $$'!BG107/'Est gen ed 23 pos'!BG$123</f>
        <v>0</v>
      </c>
      <c r="BH107" s="34">
        <f>VLOOKUP($A107,'[1]Init $$'!$B$3:$CG$118,60,FALSE)</f>
        <v>0</v>
      </c>
      <c r="BI107" s="34">
        <f>VLOOKUP($A107,'[1]Init $$'!$B$3:$CG$118,61,FALSE)</f>
        <v>0</v>
      </c>
      <c r="BJ107" s="34">
        <f>VLOOKUP($A107,'[1]Init $$'!$B$3:$CG$118,62,FALSE)</f>
        <v>0</v>
      </c>
      <c r="BK107" s="43">
        <f>'Est gen ed 23 $$'!BK107/'Est gen ed 23 pos'!BK$123</f>
        <v>0</v>
      </c>
      <c r="BL107" s="34">
        <f>VLOOKUP($A107,'[1]Init $$'!$B$3:$CG$118,64,FALSE)</f>
        <v>0</v>
      </c>
      <c r="BM107" s="43">
        <f>'Est gen ed 23 $$'!BM107/'Est gen ed 23 pos'!BM$123</f>
        <v>0</v>
      </c>
      <c r="BN107" s="34">
        <f>VLOOKUP($A107,'[1]Init $$'!$B$3:$CG$118,66,FALSE)</f>
        <v>0</v>
      </c>
      <c r="BO107" s="43">
        <f>'Est gen ed 23 $$'!BO107/'Est gen ed 23 pos'!BO$123</f>
        <v>0</v>
      </c>
      <c r="BP107" s="34">
        <f>VLOOKUP($A107,'[1]Init $$'!$B$3:$CG$118,68,FALSE)</f>
        <v>0</v>
      </c>
      <c r="BQ107" s="43">
        <f>'Est gen ed 23 $$'!BQ107/'Est gen ed 23 pos'!BQ$123</f>
        <v>0</v>
      </c>
      <c r="BR107" s="43">
        <f>'Est gen ed 23 $$'!BR107/'Est gen ed 23 pos'!BR$123</f>
        <v>0</v>
      </c>
      <c r="BS107" s="34">
        <f>VLOOKUP($A107,'[1]Init $$'!$B$3:$CG$118,71,FALSE)</f>
        <v>0</v>
      </c>
      <c r="BT107" s="34">
        <f>VLOOKUP($A107,'[1]Init $$'!$B$3:$CG$118,72,FALSE)</f>
        <v>0</v>
      </c>
      <c r="BU107" s="34">
        <f>VLOOKUP($A107,'[1]Init $$'!$B$3:$CG$118,73,FALSE)</f>
        <v>0</v>
      </c>
      <c r="BV107" s="34">
        <f>VLOOKUP($A107,'[1]Init $$'!$B$3:$CG$118,74,FALSE)</f>
        <v>0</v>
      </c>
      <c r="BW107" s="34">
        <f>VLOOKUP($A107,'[1]Init $$'!$B$3:$CG$118,75,FALSE)</f>
        <v>0</v>
      </c>
      <c r="BX107" s="43">
        <f>'Est gen ed 23 $$'!BX107/'Est gen ed 23 pos'!BX$123</f>
        <v>0</v>
      </c>
      <c r="BY107" s="43">
        <f>'Est gen ed 23 $$'!BY107/'Est gen ed 23 pos'!BY$123</f>
        <v>0</v>
      </c>
      <c r="BZ107" s="43">
        <f>'Est gen ed 23 $$'!BZ107/'Est gen ed 23 pos'!BZ$123</f>
        <v>0</v>
      </c>
      <c r="CA107" s="34">
        <f>VLOOKUP($A107,'[1]Init $$'!$B$3:$CG$118,79,FALSE)</f>
        <v>458708.18</v>
      </c>
      <c r="CB107" s="34">
        <f>VLOOKUP($A107,'[1]Init $$'!$B$3:$CG$118,80,FALSE)</f>
        <v>6928.68</v>
      </c>
      <c r="CC107" s="34">
        <f>VLOOKUP($A107,'[1]Init $$'!$B$3:$CG$118,81,FALSE)</f>
        <v>419652.32</v>
      </c>
      <c r="CD107" s="34">
        <f>VLOOKUP($A107,'[1]Init $$'!$B$3:$CG$118,82,FALSE)</f>
        <v>0</v>
      </c>
      <c r="CE107" s="34">
        <f>VLOOKUP($A107,'[1]Init $$'!$B$3:$CG$118,83,FALSE)</f>
        <v>52862.61</v>
      </c>
      <c r="CF107" s="34">
        <f>VLOOKUP($A107,'[1]Init $$'!$B$3:$CG$118,84,FALSE)</f>
        <v>475027.59</v>
      </c>
      <c r="CJ107" s="28">
        <f t="shared" si="6"/>
        <v>4333670.8099980848</v>
      </c>
      <c r="CK107" s="43">
        <f>'Est gen ed 23 $$'!CK107/'Est gen ed 23 pos'!CK$123</f>
        <v>0.99999604682144683</v>
      </c>
      <c r="CL107" s="43">
        <f>'Est gen ed 23 $$'!CL107/'Est gen ed 23 pos'!CL$123</f>
        <v>1.0325</v>
      </c>
      <c r="CM107" s="43">
        <f>'Est gen ed 23 $$'!CM107/'Est gen ed 23 pos'!CM$123</f>
        <v>1</v>
      </c>
      <c r="CN107" s="43">
        <f>'Est gen ed 23 $$'!CN107/'Est gen ed 23 pos'!CN$123</f>
        <v>0.96852300242130751</v>
      </c>
      <c r="CO107" s="43">
        <f>'Est gen ed 23 $$'!CO107/'Est gen ed 23 pos'!CO$123</f>
        <v>0</v>
      </c>
      <c r="CP107" s="43">
        <f>'Est gen ed 23 $$'!CP107/'Est gen ed 23 pos'!CP$123</f>
        <v>0</v>
      </c>
      <c r="CQ107" s="43">
        <f>'Est gen ed 23 $$'!CQ107/'Est gen ed 23 pos'!CQ$123</f>
        <v>0.99999604682144683</v>
      </c>
      <c r="CR107" s="43">
        <f>'Est gen ed 23 $$'!CR107/'Est gen ed 23 pos'!CR$123</f>
        <v>0.99999604682144683</v>
      </c>
      <c r="CS107" s="43">
        <f>'Est gen ed 23 $$'!CS107/'Est gen ed 23 pos'!CS$123</f>
        <v>1.9999920936428937</v>
      </c>
      <c r="CT107" s="43">
        <f>'Est gen ed 23 $$'!CT107/'Est gen ed 23 pos'!CT$123</f>
        <v>3</v>
      </c>
      <c r="CU107" s="43">
        <f>'Est gen ed 23 $$'!CU107/'Est gen ed 23 pos'!CU$123</f>
        <v>17</v>
      </c>
      <c r="CZ107" s="43">
        <f>'Est gen ed 23 $$'!CW107/'Est gen ed 23 pos'!CZ$123</f>
        <v>0</v>
      </c>
      <c r="DB107" s="28">
        <f t="shared" si="7"/>
        <v>1887468</v>
      </c>
      <c r="DC107" s="28">
        <f t="shared" si="4"/>
        <v>947542.52</v>
      </c>
      <c r="DK107" s="34"/>
      <c r="DL107" s="34"/>
    </row>
    <row r="108" spans="1:116" x14ac:dyDescent="0.2">
      <c r="A108">
        <v>325</v>
      </c>
      <c r="B108" t="s">
        <v>17</v>
      </c>
      <c r="C108" t="s">
        <v>7</v>
      </c>
      <c r="D108">
        <v>7</v>
      </c>
      <c r="E108">
        <f>VLOOKUP($A108,'[1]Init $$'!$B$3:$CG$118,4,FALSE)</f>
        <v>287</v>
      </c>
      <c r="F108">
        <f>VLOOKUP($A108,'[1]Init $$'!$B$3:$CG$118,6,FALSE)</f>
        <v>208</v>
      </c>
      <c r="G108">
        <f>VLOOKUP($A108,'[2]$$xSchpostCouncilxLevel'!$A$4:$EW$120,153,FALSE)</f>
        <v>239</v>
      </c>
      <c r="H108" s="50">
        <f t="shared" si="5"/>
        <v>-31</v>
      </c>
      <c r="I108" s="4">
        <f>VLOOKUP($A108,'[1]Init $$'!$B$3:$CG$118,8,FALSE)</f>
        <v>0.80487804878048785</v>
      </c>
      <c r="J108">
        <f>VLOOKUP($A108,'[1]Init $$'!$B$3:$CG$118,7,FALSE)</f>
        <v>231</v>
      </c>
      <c r="K108" s="43">
        <f>'Est gen ed 23 $$'!K108/'Est gen ed 23 pos'!K$123</f>
        <v>1</v>
      </c>
      <c r="L108" s="43">
        <f>'Est gen ed 23 $$'!L108/'Est gen ed 23 pos'!L$123</f>
        <v>0</v>
      </c>
      <c r="M108" s="43">
        <f>'Est gen ed 23 $$'!M108/'Est gen ed 23 pos'!M$123</f>
        <v>0</v>
      </c>
      <c r="N108" s="43">
        <f>'Est gen ed 23 $$'!N108/'Est gen ed 23 pos'!N$123</f>
        <v>1</v>
      </c>
      <c r="O108" s="34">
        <f>VLOOKUP($A108,'[1]Init $$'!$B$3:$CG$118,15,FALSE)</f>
        <v>6530.65</v>
      </c>
      <c r="P108" s="43">
        <f>'Est gen ed 23 $$'!P108/'Est gen ed 23 pos'!P$123</f>
        <v>1</v>
      </c>
      <c r="Q108" s="43">
        <f>'Est gen ed 23 $$'!Q108/'Est gen ed 23 pos'!Q$123</f>
        <v>1</v>
      </c>
      <c r="R108" s="43">
        <f>'Est gen ed 23 $$'!R108/'Est gen ed 23 pos'!R$123</f>
        <v>1</v>
      </c>
      <c r="S108" s="43">
        <f>'Est gen ed 23 $$'!S108/'Est gen ed 23 pos'!S$123</f>
        <v>1</v>
      </c>
      <c r="T108" s="43">
        <f>'Est gen ed 23 $$'!T108/'Est gen ed 23 pos'!T$123</f>
        <v>1.9999999121515879</v>
      </c>
      <c r="U108" s="43">
        <f>'Est gen ed 23 $$'!U108/'Est gen ed 23 pos'!U$123</f>
        <v>1.9999999121515879</v>
      </c>
      <c r="V108" s="43">
        <f>'Est gen ed 23 $$'!V108/'Est gen ed 23 pos'!V$123</f>
        <v>1</v>
      </c>
      <c r="W108" s="43">
        <f>'Est gen ed 23 $$'!W108/'Est gen ed 23 pos'!W$123</f>
        <v>4.9999994893586166</v>
      </c>
      <c r="X108" s="34">
        <f>VLOOKUP($A108,'[1]Init $$'!$B$3:$CG$118,24,FALSE)</f>
        <v>141560.1</v>
      </c>
      <c r="Y108" s="34">
        <f>VLOOKUP($A108,'[1]Init $$'!$B$3:$CG$118,25,FALSE)</f>
        <v>0</v>
      </c>
      <c r="Z108" s="34">
        <f>VLOOKUP($A108,'[1]Init $$'!$B$3:$CG$118,26,FALSE)</f>
        <v>0</v>
      </c>
      <c r="AA108" s="34">
        <f>VLOOKUP($A108,'[1]Init $$'!$B$3:$CG$118,27,FALSE)</f>
        <v>0</v>
      </c>
      <c r="AB108" s="43">
        <f>'Est gen ed 23 $$'!AB108/'Est gen ed 23 pos'!AB$123</f>
        <v>0</v>
      </c>
      <c r="AC108" s="43">
        <f>'Est gen ed 23 $$'!AC108/'Est gen ed 23 pos'!AC$123</f>
        <v>0</v>
      </c>
      <c r="AD108" s="43">
        <f>'Est gen ed 23 $$'!AD108/'Est gen ed 23 pos'!AD$123</f>
        <v>0</v>
      </c>
      <c r="AE108" s="43">
        <f>'Est gen ed 23 $$'!AE108/'Est gen ed 23 pos'!AE$123</f>
        <v>0</v>
      </c>
      <c r="AF108" s="34">
        <f>VLOOKUP($A108,'[1]Init $$'!$B$3:$CG$118,32,FALSE)</f>
        <v>1242384</v>
      </c>
      <c r="AG108" s="34">
        <f>VLOOKUP($A108,'[1]Init $$'!$B$3:$CG$118,33,FALSE)</f>
        <v>93275</v>
      </c>
      <c r="AH108" s="43">
        <f>'Est gen ed 23 $$'!AH108/'Est gen ed 23 pos'!AH$123</f>
        <v>1</v>
      </c>
      <c r="AI108" s="43">
        <f>'Est gen ed 23 $$'!AI108/'Est gen ed 23 pos'!AI$123</f>
        <v>1</v>
      </c>
      <c r="AJ108" s="43">
        <f>'Est gen ed 23 $$'!AJ108/'Est gen ed 23 pos'!AJ$123</f>
        <v>2.9999999121515879</v>
      </c>
      <c r="AK108" s="43">
        <f>'Est gen ed 23 $$'!AK108/'Est gen ed 23 pos'!AK$123</f>
        <v>2.9999999121515879</v>
      </c>
      <c r="AL108" s="43">
        <f>'Est gen ed 23 $$'!AL108/'Est gen ed 23 pos'!AL$123</f>
        <v>4.9999994893586166</v>
      </c>
      <c r="AM108" s="43">
        <f>'Est gen ed 23 $$'!AM108/'Est gen ed 23 pos'!AM$123</f>
        <v>0</v>
      </c>
      <c r="AN108" s="43">
        <f>'Est gen ed 23 $$'!AN108/'Est gen ed 23 pos'!AN$123</f>
        <v>0</v>
      </c>
      <c r="AO108" s="43">
        <f>'Est gen ed 23 $$'!AO108/'Est gen ed 23 pos'!AO$123</f>
        <v>0</v>
      </c>
      <c r="AP108" s="34">
        <f>VLOOKUP($A108,'[1]Init $$'!$B$3:$CG$118,42,FALSE)</f>
        <v>91386.9</v>
      </c>
      <c r="AQ108" s="34">
        <f>VLOOKUP($A108,'[1]Init $$'!$B$3:$CG$118,43,FALSE)</f>
        <v>0</v>
      </c>
      <c r="AR108" s="43">
        <f>'Est gen ed 23 $$'!AR108/'Est gen ed 23 pos'!AR$123</f>
        <v>0</v>
      </c>
      <c r="AS108" s="43">
        <f>'Est gen ed 23 $$'!AS108/'Est gen ed 23 pos'!AS$123</f>
        <v>8.9999995607579389E-2</v>
      </c>
      <c r="AT108" s="43">
        <f>'Est gen ed 23 $$'!AT108/'Est gen ed 23 pos'!AT$123</f>
        <v>0</v>
      </c>
      <c r="AU108" s="34">
        <f>VLOOKUP($A108,'[1]Init $$'!$B$3:$CG$118,47,FALSE)</f>
        <v>3583.8</v>
      </c>
      <c r="AV108" s="34">
        <f>VLOOKUP($A108,'[1]Init $$'!$B$3:$CG$118,48,FALSE)</f>
        <v>20400</v>
      </c>
      <c r="AW108" s="34">
        <f>VLOOKUP($A108,'[1]Init $$'!$B$3:$CG$118,49,FALSE)</f>
        <v>20400</v>
      </c>
      <c r="AX108" s="34">
        <f>VLOOKUP($A108,'[1]Init $$'!$B$3:$CG$118,50,FALSE)</f>
        <v>0</v>
      </c>
      <c r="AY108" s="34">
        <f>VLOOKUP($A108,'[1]Init $$'!$B$3:$CG$118,51,FALSE)</f>
        <v>0</v>
      </c>
      <c r="AZ108" s="34">
        <f>VLOOKUP($A108,'[1]Init $$'!$B$3:$CG$118,52,FALSE)</f>
        <v>13600</v>
      </c>
      <c r="BA108" s="34">
        <f>VLOOKUP($A108,'[1]Init $$'!$B$3:$CG$118,53,FALSE)</f>
        <v>10200</v>
      </c>
      <c r="BB108" s="34">
        <f>VLOOKUP($A108,'[1]Init $$'!$B$3:$CG$118,54,FALSE)</f>
        <v>13600</v>
      </c>
      <c r="BC108" s="34">
        <f>VLOOKUP($A108,'[1]Init $$'!$B$3:$CG$118,55,FALSE)</f>
        <v>155319</v>
      </c>
      <c r="BD108" s="34">
        <f>VLOOKUP($A108,'[1]Init $$'!$B$3:$CG$118,56,FALSE)</f>
        <v>2501.81</v>
      </c>
      <c r="BE108" s="34">
        <f>VLOOKUP($A108,'[1]Init $$'!$B$3:$CG$118,57,FALSE)</f>
        <v>0</v>
      </c>
      <c r="BF108" s="43">
        <f>'Est gen ed 23 $$'!BF108/'Est gen ed 23 pos'!BF$123</f>
        <v>1</v>
      </c>
      <c r="BG108" s="43">
        <f>'Est gen ed 23 $$'!BG108/'Est gen ed 23 pos'!BG$123</f>
        <v>0</v>
      </c>
      <c r="BH108" s="34">
        <f>VLOOKUP($A108,'[1]Init $$'!$B$3:$CG$118,60,FALSE)</f>
        <v>0</v>
      </c>
      <c r="BI108" s="34">
        <f>VLOOKUP($A108,'[1]Init $$'!$B$3:$CG$118,61,FALSE)</f>
        <v>0</v>
      </c>
      <c r="BJ108" s="34">
        <f>VLOOKUP($A108,'[1]Init $$'!$B$3:$CG$118,62,FALSE)</f>
        <v>0</v>
      </c>
      <c r="BK108" s="43">
        <f>'Est gen ed 23 $$'!BK108/'Est gen ed 23 pos'!BK$123</f>
        <v>0</v>
      </c>
      <c r="BL108" s="34">
        <f>VLOOKUP($A108,'[1]Init $$'!$B$3:$CG$118,64,FALSE)</f>
        <v>0</v>
      </c>
      <c r="BM108" s="43">
        <f>'Est gen ed 23 $$'!BM108/'Est gen ed 23 pos'!BM$123</f>
        <v>0</v>
      </c>
      <c r="BN108" s="34">
        <f>VLOOKUP($A108,'[1]Init $$'!$B$3:$CG$118,66,FALSE)</f>
        <v>0</v>
      </c>
      <c r="BO108" s="43">
        <f>'Est gen ed 23 $$'!BO108/'Est gen ed 23 pos'!BO$123</f>
        <v>0</v>
      </c>
      <c r="BP108" s="34">
        <f>VLOOKUP($A108,'[1]Init $$'!$B$3:$CG$118,68,FALSE)</f>
        <v>0</v>
      </c>
      <c r="BQ108" s="43">
        <f>'Est gen ed 23 $$'!BQ108/'Est gen ed 23 pos'!BQ$123</f>
        <v>0</v>
      </c>
      <c r="BR108" s="43">
        <f>'Est gen ed 23 $$'!BR108/'Est gen ed 23 pos'!BR$123</f>
        <v>0</v>
      </c>
      <c r="BS108" s="34">
        <f>VLOOKUP($A108,'[1]Init $$'!$B$3:$CG$118,71,FALSE)</f>
        <v>0</v>
      </c>
      <c r="BT108" s="34">
        <f>VLOOKUP($A108,'[1]Init $$'!$B$3:$CG$118,72,FALSE)</f>
        <v>0</v>
      </c>
      <c r="BU108" s="34">
        <f>VLOOKUP($A108,'[1]Init $$'!$B$3:$CG$118,73,FALSE)</f>
        <v>15325</v>
      </c>
      <c r="BV108" s="34">
        <f>VLOOKUP($A108,'[1]Init $$'!$B$3:$CG$118,74,FALSE)</f>
        <v>0</v>
      </c>
      <c r="BW108" s="34">
        <f>VLOOKUP($A108,'[1]Init $$'!$B$3:$CG$118,75,FALSE)</f>
        <v>0</v>
      </c>
      <c r="BX108" s="43">
        <f>'Est gen ed 23 $$'!BX108/'Est gen ed 23 pos'!BX$123</f>
        <v>0</v>
      </c>
      <c r="BY108" s="43">
        <f>'Est gen ed 23 $$'!BY108/'Est gen ed 23 pos'!BY$123</f>
        <v>0</v>
      </c>
      <c r="BZ108" s="43">
        <f>'Est gen ed 23 $$'!BZ108/'Est gen ed 23 pos'!BZ$123</f>
        <v>0</v>
      </c>
      <c r="CA108" s="34">
        <f>VLOOKUP($A108,'[1]Init $$'!$B$3:$CG$118,79,FALSE)</f>
        <v>619658.42000000004</v>
      </c>
      <c r="CB108" s="34">
        <f>VLOOKUP($A108,'[1]Init $$'!$B$3:$CG$118,80,FALSE)</f>
        <v>138812.51999999999</v>
      </c>
      <c r="CC108" s="34">
        <f>VLOOKUP($A108,'[1]Init $$'!$B$3:$CG$118,81,FALSE)</f>
        <v>47258.97</v>
      </c>
      <c r="CD108" s="34">
        <f>VLOOKUP($A108,'[1]Init $$'!$B$3:$CG$118,82,FALSE)</f>
        <v>24216.240000000002</v>
      </c>
      <c r="CE108" s="34">
        <f>VLOOKUP($A108,'[1]Init $$'!$B$3:$CG$118,83,FALSE)</f>
        <v>143388.29</v>
      </c>
      <c r="CF108" s="34">
        <f>VLOOKUP($A108,'[1]Init $$'!$B$3:$CG$118,84,FALSE)</f>
        <v>0</v>
      </c>
      <c r="CJ108" s="28">
        <f t="shared" si="6"/>
        <v>2803430.7899986235</v>
      </c>
      <c r="CK108" s="43">
        <f>'Est gen ed 23 $$'!CK108/'Est gen ed 23 pos'!CK$123</f>
        <v>0.99999604682144683</v>
      </c>
      <c r="CL108" s="43">
        <f>'Est gen ed 23 $$'!CL108/'Est gen ed 23 pos'!CL$123</f>
        <v>0</v>
      </c>
      <c r="CM108" s="43">
        <f>'Est gen ed 23 $$'!CM108/'Est gen ed 23 pos'!CM$123</f>
        <v>0.5</v>
      </c>
      <c r="CN108" s="43">
        <f>'Est gen ed 23 $$'!CN108/'Est gen ed 23 pos'!CN$123</f>
        <v>0</v>
      </c>
      <c r="CO108" s="43">
        <f>'Est gen ed 23 $$'!CO108/'Est gen ed 23 pos'!CO$123</f>
        <v>0</v>
      </c>
      <c r="CP108" s="43">
        <f>'Est gen ed 23 $$'!CP108/'Est gen ed 23 pos'!CP$123</f>
        <v>0</v>
      </c>
      <c r="CQ108" s="43">
        <f>'Est gen ed 23 $$'!CQ108/'Est gen ed 23 pos'!CQ$123</f>
        <v>0.99999604682144683</v>
      </c>
      <c r="CR108" s="43">
        <f>'Est gen ed 23 $$'!CR108/'Est gen ed 23 pos'!CR$123</f>
        <v>0.99999604682144683</v>
      </c>
      <c r="CS108" s="43">
        <f>'Est gen ed 23 $$'!CS108/'Est gen ed 23 pos'!CS$123</f>
        <v>1.4999940702321701</v>
      </c>
      <c r="CT108" s="43">
        <f>'Est gen ed 23 $$'!CT108/'Est gen ed 23 pos'!CT$123</f>
        <v>3</v>
      </c>
      <c r="CU108" s="43">
        <f>'Est gen ed 23 $$'!CU108/'Est gen ed 23 pos'!CU$123</f>
        <v>12.999999999999998</v>
      </c>
      <c r="CZ108" s="43">
        <f>'Est gen ed 23 $$'!CW108/'Est gen ed 23 pos'!CZ$123</f>
        <v>0</v>
      </c>
      <c r="DB108" s="28">
        <f t="shared" si="7"/>
        <v>1242384</v>
      </c>
      <c r="DC108" s="28">
        <f t="shared" si="4"/>
        <v>214863.5</v>
      </c>
      <c r="DK108" s="34"/>
      <c r="DL108" s="34"/>
    </row>
    <row r="109" spans="1:116" x14ac:dyDescent="0.2">
      <c r="A109">
        <v>326</v>
      </c>
      <c r="B109" t="s">
        <v>16</v>
      </c>
      <c r="C109" t="s">
        <v>7</v>
      </c>
      <c r="D109">
        <v>2</v>
      </c>
      <c r="E109">
        <f>VLOOKUP($A109,'[1]Init $$'!$B$3:$CG$118,4,FALSE)</f>
        <v>281</v>
      </c>
      <c r="F109">
        <f>VLOOKUP($A109,'[1]Init $$'!$B$3:$CG$118,6,FALSE)</f>
        <v>204</v>
      </c>
      <c r="G109">
        <f>VLOOKUP($A109,'[2]$$xSchpostCouncilxLevel'!$A$4:$EW$120,153,FALSE)</f>
        <v>220</v>
      </c>
      <c r="H109" s="50">
        <f t="shared" si="5"/>
        <v>-16</v>
      </c>
      <c r="I109" s="4">
        <f>VLOOKUP($A109,'[1]Init $$'!$B$3:$CG$118,8,FALSE)</f>
        <v>0.41281138790035588</v>
      </c>
      <c r="J109">
        <f>VLOOKUP($A109,'[1]Init $$'!$B$3:$CG$118,7,FALSE)</f>
        <v>116</v>
      </c>
      <c r="K109" s="43">
        <f>'Est gen ed 23 $$'!K109/'Est gen ed 23 pos'!K$123</f>
        <v>1</v>
      </c>
      <c r="L109" s="43">
        <f>'Est gen ed 23 $$'!L109/'Est gen ed 23 pos'!L$123</f>
        <v>0</v>
      </c>
      <c r="M109" s="43">
        <f>'Est gen ed 23 $$'!M109/'Est gen ed 23 pos'!M$123</f>
        <v>0</v>
      </c>
      <c r="N109" s="43">
        <f>'Est gen ed 23 $$'!N109/'Est gen ed 23 pos'!N$123</f>
        <v>1</v>
      </c>
      <c r="O109" s="34">
        <f>VLOOKUP($A109,'[1]Init $$'!$B$3:$CG$118,15,FALSE)</f>
        <v>8156.65</v>
      </c>
      <c r="P109" s="43">
        <f>'Est gen ed 23 $$'!P109/'Est gen ed 23 pos'!P$123</f>
        <v>1</v>
      </c>
      <c r="Q109" s="43">
        <f>'Est gen ed 23 $$'!Q109/'Est gen ed 23 pos'!Q$123</f>
        <v>1</v>
      </c>
      <c r="R109" s="43">
        <f>'Est gen ed 23 $$'!R109/'Est gen ed 23 pos'!R$123</f>
        <v>2.0000001953611113</v>
      </c>
      <c r="S109" s="43">
        <f>'Est gen ed 23 $$'!S109/'Est gen ed 23 pos'!S$123</f>
        <v>1</v>
      </c>
      <c r="T109" s="43">
        <f>'Est gen ed 23 $$'!T109/'Est gen ed 23 pos'!T$123</f>
        <v>0</v>
      </c>
      <c r="U109" s="43">
        <f>'Est gen ed 23 $$'!U109/'Est gen ed 23 pos'!U$123</f>
        <v>4.9999998243031758</v>
      </c>
      <c r="V109" s="43">
        <f>'Est gen ed 23 $$'!V109/'Est gen ed 23 pos'!V$123</f>
        <v>0</v>
      </c>
      <c r="W109" s="43">
        <f>'Est gen ed 23 $$'!W109/'Est gen ed 23 pos'!W$123</f>
        <v>4.9999994893586166</v>
      </c>
      <c r="X109" s="34">
        <f>VLOOKUP($A109,'[1]Init $$'!$B$3:$CG$118,24,FALSE)</f>
        <v>137976.29999999999</v>
      </c>
      <c r="Y109" s="34">
        <f>VLOOKUP($A109,'[1]Init $$'!$B$3:$CG$118,25,FALSE)</f>
        <v>0</v>
      </c>
      <c r="Z109" s="34">
        <f>VLOOKUP($A109,'[1]Init $$'!$B$3:$CG$118,26,FALSE)</f>
        <v>0</v>
      </c>
      <c r="AA109" s="34">
        <f>VLOOKUP($A109,'[1]Init $$'!$B$3:$CG$118,27,FALSE)</f>
        <v>0</v>
      </c>
      <c r="AB109" s="43">
        <f>'Est gen ed 23 $$'!AB109/'Est gen ed 23 pos'!AB$123</f>
        <v>0</v>
      </c>
      <c r="AC109" s="43">
        <f>'Est gen ed 23 $$'!AC109/'Est gen ed 23 pos'!AC$123</f>
        <v>0</v>
      </c>
      <c r="AD109" s="43">
        <f>'Est gen ed 23 $$'!AD109/'Est gen ed 23 pos'!AD$123</f>
        <v>0</v>
      </c>
      <c r="AE109" s="43">
        <f>'Est gen ed 23 $$'!AE109/'Est gen ed 23 pos'!AE$123</f>
        <v>0</v>
      </c>
      <c r="AF109" s="34">
        <f>VLOOKUP($A109,'[1]Init $$'!$B$3:$CG$118,32,FALSE)</f>
        <v>1218492</v>
      </c>
      <c r="AG109" s="34">
        <f>VLOOKUP($A109,'[1]Init $$'!$B$3:$CG$118,33,FALSE)</f>
        <v>91325</v>
      </c>
      <c r="AH109" s="43">
        <f>'Est gen ed 23 $$'!AH109/'Est gen ed 23 pos'!AH$123</f>
        <v>1</v>
      </c>
      <c r="AI109" s="43">
        <f>'Est gen ed 23 $$'!AI109/'Est gen ed 23 pos'!AI$123</f>
        <v>1.9999999121515879</v>
      </c>
      <c r="AJ109" s="43">
        <f>'Est gen ed 23 $$'!AJ109/'Est gen ed 23 pos'!AJ$123</f>
        <v>2.9999999121515879</v>
      </c>
      <c r="AK109" s="43">
        <f>'Est gen ed 23 $$'!AK109/'Est gen ed 23 pos'!AK$123</f>
        <v>0</v>
      </c>
      <c r="AL109" s="43">
        <f>'Est gen ed 23 $$'!AL109/'Est gen ed 23 pos'!AL$123</f>
        <v>0</v>
      </c>
      <c r="AM109" s="43">
        <f>'Est gen ed 23 $$'!AM109/'Est gen ed 23 pos'!AM$123</f>
        <v>0</v>
      </c>
      <c r="AN109" s="43">
        <f>'Est gen ed 23 $$'!AN109/'Est gen ed 23 pos'!AN$123</f>
        <v>0</v>
      </c>
      <c r="AO109" s="43">
        <f>'Est gen ed 23 $$'!AO109/'Est gen ed 23 pos'!AO$123</f>
        <v>0</v>
      </c>
      <c r="AP109" s="34">
        <f>VLOOKUP($A109,'[1]Init $$'!$B$3:$CG$118,42,FALSE)</f>
        <v>55548.9</v>
      </c>
      <c r="AQ109" s="34">
        <f>VLOOKUP($A109,'[1]Init $$'!$B$3:$CG$118,43,FALSE)</f>
        <v>0</v>
      </c>
      <c r="AR109" s="43">
        <f>'Est gen ed 23 $$'!AR109/'Est gen ed 23 pos'!AR$123</f>
        <v>5.9999998243031758</v>
      </c>
      <c r="AS109" s="43">
        <f>'Est gen ed 23 $$'!AS109/'Est gen ed 23 pos'!AS$123</f>
        <v>0</v>
      </c>
      <c r="AT109" s="43">
        <f>'Est gen ed 23 $$'!AT109/'Est gen ed 23 pos'!AT$123</f>
        <v>1</v>
      </c>
      <c r="AU109" s="34">
        <f>VLOOKUP($A109,'[1]Init $$'!$B$3:$CG$118,47,FALSE)</f>
        <v>232947</v>
      </c>
      <c r="AV109" s="34">
        <f>VLOOKUP($A109,'[1]Init $$'!$B$3:$CG$118,48,FALSE)</f>
        <v>27200</v>
      </c>
      <c r="AW109" s="34">
        <f>VLOOKUP($A109,'[1]Init $$'!$B$3:$CG$118,49,FALSE)</f>
        <v>20400</v>
      </c>
      <c r="AX109" s="34">
        <f>VLOOKUP($A109,'[1]Init $$'!$B$3:$CG$118,50,FALSE)</f>
        <v>0</v>
      </c>
      <c r="AY109" s="34">
        <f>VLOOKUP($A109,'[1]Init $$'!$B$3:$CG$118,51,FALSE)</f>
        <v>0</v>
      </c>
      <c r="AZ109" s="34">
        <f>VLOOKUP($A109,'[1]Init $$'!$B$3:$CG$118,52,FALSE)</f>
        <v>34000</v>
      </c>
      <c r="BA109" s="34">
        <f>VLOOKUP($A109,'[1]Init $$'!$B$3:$CG$118,53,FALSE)</f>
        <v>10200</v>
      </c>
      <c r="BB109" s="34">
        <f>VLOOKUP($A109,'[1]Init $$'!$B$3:$CG$118,54,FALSE)</f>
        <v>27200</v>
      </c>
      <c r="BC109" s="34">
        <f>VLOOKUP($A109,'[1]Init $$'!$B$3:$CG$118,55,FALSE)</f>
        <v>87454.88</v>
      </c>
      <c r="BD109" s="34">
        <f>VLOOKUP($A109,'[1]Init $$'!$B$3:$CG$118,56,FALSE)</f>
        <v>1408.68</v>
      </c>
      <c r="BE109" s="34">
        <f>VLOOKUP($A109,'[1]Init $$'!$B$3:$CG$118,57,FALSE)</f>
        <v>0</v>
      </c>
      <c r="BF109" s="43">
        <f>'Est gen ed 23 $$'!BF109/'Est gen ed 23 pos'!BF$123</f>
        <v>0</v>
      </c>
      <c r="BG109" s="43">
        <f>'Est gen ed 23 $$'!BG109/'Est gen ed 23 pos'!BG$123</f>
        <v>0</v>
      </c>
      <c r="BH109" s="34">
        <f>VLOOKUP($A109,'[1]Init $$'!$B$3:$CG$118,60,FALSE)</f>
        <v>0</v>
      </c>
      <c r="BI109" s="34">
        <f>VLOOKUP($A109,'[1]Init $$'!$B$3:$CG$118,61,FALSE)</f>
        <v>0</v>
      </c>
      <c r="BJ109" s="34">
        <f>VLOOKUP($A109,'[1]Init $$'!$B$3:$CG$118,62,FALSE)</f>
        <v>0</v>
      </c>
      <c r="BK109" s="43">
        <f>'Est gen ed 23 $$'!BK109/'Est gen ed 23 pos'!BK$123</f>
        <v>1</v>
      </c>
      <c r="BL109" s="34">
        <f>VLOOKUP($A109,'[1]Init $$'!$B$3:$CG$118,64,FALSE)</f>
        <v>18955</v>
      </c>
      <c r="BM109" s="43">
        <f>'Est gen ed 23 $$'!BM109/'Est gen ed 23 pos'!BM$123</f>
        <v>0</v>
      </c>
      <c r="BN109" s="34">
        <f>VLOOKUP($A109,'[1]Init $$'!$B$3:$CG$118,66,FALSE)</f>
        <v>0</v>
      </c>
      <c r="BO109" s="43">
        <f>'Est gen ed 23 $$'!BO109/'Est gen ed 23 pos'!BO$123</f>
        <v>0</v>
      </c>
      <c r="BP109" s="34">
        <f>VLOOKUP($A109,'[1]Init $$'!$B$3:$CG$118,68,FALSE)</f>
        <v>0</v>
      </c>
      <c r="BQ109" s="43">
        <f>'Est gen ed 23 $$'!BQ109/'Est gen ed 23 pos'!BQ$123</f>
        <v>0</v>
      </c>
      <c r="BR109" s="43">
        <f>'Est gen ed 23 $$'!BR109/'Est gen ed 23 pos'!BR$123</f>
        <v>0</v>
      </c>
      <c r="BS109" s="34">
        <f>VLOOKUP($A109,'[1]Init $$'!$B$3:$CG$118,71,FALSE)</f>
        <v>0</v>
      </c>
      <c r="BT109" s="34">
        <f>VLOOKUP($A109,'[1]Init $$'!$B$3:$CG$118,72,FALSE)</f>
        <v>0</v>
      </c>
      <c r="BU109" s="34">
        <f>VLOOKUP($A109,'[1]Init $$'!$B$3:$CG$118,73,FALSE)</f>
        <v>0</v>
      </c>
      <c r="BV109" s="34">
        <f>VLOOKUP($A109,'[1]Init $$'!$B$3:$CG$118,74,FALSE)</f>
        <v>0</v>
      </c>
      <c r="BW109" s="34">
        <f>VLOOKUP($A109,'[1]Init $$'!$B$3:$CG$118,75,FALSE)</f>
        <v>0</v>
      </c>
      <c r="BX109" s="43">
        <f>'Est gen ed 23 $$'!BX109/'Est gen ed 23 pos'!BX$123</f>
        <v>0</v>
      </c>
      <c r="BY109" s="43">
        <f>'Est gen ed 23 $$'!BY109/'Est gen ed 23 pos'!BY$123</f>
        <v>0</v>
      </c>
      <c r="BZ109" s="43">
        <f>'Est gen ed 23 $$'!BZ109/'Est gen ed 23 pos'!BZ$123</f>
        <v>0</v>
      </c>
      <c r="CA109" s="34">
        <f>VLOOKUP($A109,'[1]Init $$'!$B$3:$CG$118,79,FALSE)</f>
        <v>311170.46000000002</v>
      </c>
      <c r="CB109" s="34">
        <f>VLOOKUP($A109,'[1]Init $$'!$B$3:$CG$118,80,FALSE)</f>
        <v>4300.5600000000004</v>
      </c>
      <c r="CC109" s="34">
        <f>VLOOKUP($A109,'[1]Init $$'!$B$3:$CG$118,81,FALSE)</f>
        <v>324.79000000000002</v>
      </c>
      <c r="CD109" s="34">
        <f>VLOOKUP($A109,'[1]Init $$'!$B$3:$CG$118,82,FALSE)</f>
        <v>0</v>
      </c>
      <c r="CE109" s="34">
        <f>VLOOKUP($A109,'[1]Init $$'!$B$3:$CG$118,83,FALSE)</f>
        <v>111850.85</v>
      </c>
      <c r="CF109" s="34">
        <f>VLOOKUP($A109,'[1]Init $$'!$B$3:$CG$118,84,FALSE)</f>
        <v>0</v>
      </c>
      <c r="CJ109" s="28">
        <f t="shared" si="6"/>
        <v>2398942.0699991579</v>
      </c>
      <c r="CK109" s="43">
        <f>'Est gen ed 23 $$'!CK109/'Est gen ed 23 pos'!CK$123</f>
        <v>0.99999604682144683</v>
      </c>
      <c r="CL109" s="43">
        <f>'Est gen ed 23 $$'!CL109/'Est gen ed 23 pos'!CL$123</f>
        <v>0</v>
      </c>
      <c r="CM109" s="43">
        <f>'Est gen ed 23 $$'!CM109/'Est gen ed 23 pos'!CM$123</f>
        <v>0.5</v>
      </c>
      <c r="CN109" s="43">
        <f>'Est gen ed 23 $$'!CN109/'Est gen ed 23 pos'!CN$123</f>
        <v>0</v>
      </c>
      <c r="CO109" s="43">
        <f>'Est gen ed 23 $$'!CO109/'Est gen ed 23 pos'!CO$123</f>
        <v>0</v>
      </c>
      <c r="CP109" s="43">
        <f>'Est gen ed 23 $$'!CP109/'Est gen ed 23 pos'!CP$123</f>
        <v>0</v>
      </c>
      <c r="CQ109" s="43">
        <f>'Est gen ed 23 $$'!CQ109/'Est gen ed 23 pos'!CQ$123</f>
        <v>0.99999604682144683</v>
      </c>
      <c r="CR109" s="43">
        <f>'Est gen ed 23 $$'!CR109/'Est gen ed 23 pos'!CR$123</f>
        <v>0.99999604682144683</v>
      </c>
      <c r="CS109" s="43">
        <f>'Est gen ed 23 $$'!CS109/'Est gen ed 23 pos'!CS$123</f>
        <v>1.4999940702321701</v>
      </c>
      <c r="CT109" s="43">
        <f>'Est gen ed 23 $$'!CT109/'Est gen ed 23 pos'!CT$123</f>
        <v>2</v>
      </c>
      <c r="CU109" s="43">
        <f>'Est gen ed 23 $$'!CU109/'Est gen ed 23 pos'!CU$123</f>
        <v>12</v>
      </c>
      <c r="CZ109" s="43">
        <f>'Est gen ed 23 $$'!CW109/'Est gen ed 23 pos'!CZ$123</f>
        <v>0</v>
      </c>
      <c r="DB109" s="28">
        <f t="shared" si="7"/>
        <v>1218492</v>
      </c>
      <c r="DC109" s="28">
        <f t="shared" si="4"/>
        <v>112175.64</v>
      </c>
      <c r="DK109" s="34"/>
      <c r="DL109" s="34"/>
    </row>
    <row r="110" spans="1:116" x14ac:dyDescent="0.2">
      <c r="A110">
        <v>327</v>
      </c>
      <c r="B110" t="s">
        <v>15</v>
      </c>
      <c r="C110" t="s">
        <v>7</v>
      </c>
      <c r="D110">
        <v>4</v>
      </c>
      <c r="E110">
        <f>VLOOKUP($A110,'[1]Init $$'!$B$3:$CG$118,4,FALSE)</f>
        <v>444</v>
      </c>
      <c r="F110">
        <f>VLOOKUP($A110,'[1]Init $$'!$B$3:$CG$118,6,FALSE)</f>
        <v>336</v>
      </c>
      <c r="G110">
        <f>VLOOKUP($A110,'[2]$$xSchpostCouncilxLevel'!$A$4:$EW$120,153,FALSE)</f>
        <v>379</v>
      </c>
      <c r="H110" s="50">
        <f t="shared" si="5"/>
        <v>-43</v>
      </c>
      <c r="I110" s="4">
        <f>VLOOKUP($A110,'[1]Init $$'!$B$3:$CG$118,8,FALSE)</f>
        <v>0.57207207207207211</v>
      </c>
      <c r="J110">
        <f>VLOOKUP($A110,'[1]Init $$'!$B$3:$CG$118,7,FALSE)</f>
        <v>254</v>
      </c>
      <c r="K110" s="43">
        <f>'Est gen ed 23 $$'!K110/'Est gen ed 23 pos'!K$123</f>
        <v>1</v>
      </c>
      <c r="L110" s="43">
        <f>'Est gen ed 23 $$'!L110/'Est gen ed 23 pos'!L$123</f>
        <v>0</v>
      </c>
      <c r="M110" s="43">
        <f>'Est gen ed 23 $$'!M110/'Est gen ed 23 pos'!M$123</f>
        <v>0</v>
      </c>
      <c r="N110" s="43">
        <f>'Est gen ed 23 $$'!N110/'Est gen ed 23 pos'!N$123</f>
        <v>1</v>
      </c>
      <c r="O110" s="34">
        <f>VLOOKUP($A110,'[1]Init $$'!$B$3:$CG$118,15,FALSE)</f>
        <v>6606.3</v>
      </c>
      <c r="P110" s="43">
        <f>'Est gen ed 23 $$'!P110/'Est gen ed 23 pos'!P$123</f>
        <v>1</v>
      </c>
      <c r="Q110" s="43">
        <f>'Est gen ed 23 $$'!Q110/'Est gen ed 23 pos'!Q$123</f>
        <v>1</v>
      </c>
      <c r="R110" s="43">
        <f>'Est gen ed 23 $$'!R110/'Est gen ed 23 pos'!R$123</f>
        <v>2.0000001953611113</v>
      </c>
      <c r="S110" s="43">
        <f>'Est gen ed 23 $$'!S110/'Est gen ed 23 pos'!S$123</f>
        <v>1</v>
      </c>
      <c r="T110" s="43">
        <f>'Est gen ed 23 $$'!T110/'Est gen ed 23 pos'!T$123</f>
        <v>2.9999999121515879</v>
      </c>
      <c r="U110" s="43">
        <f>'Est gen ed 23 $$'!U110/'Est gen ed 23 pos'!U$123</f>
        <v>1</v>
      </c>
      <c r="V110" s="43">
        <f>'Est gen ed 23 $$'!V110/'Est gen ed 23 pos'!V$123</f>
        <v>2.9999999121515879</v>
      </c>
      <c r="W110" s="43">
        <f>'Est gen ed 23 $$'!W110/'Est gen ed 23 pos'!W$123</f>
        <v>6.9999994893586166</v>
      </c>
      <c r="X110" s="34">
        <f>VLOOKUP($A110,'[1]Init $$'!$B$3:$CG$118,24,FALSE)</f>
        <v>193525.2</v>
      </c>
      <c r="Y110" s="34">
        <f>VLOOKUP($A110,'[1]Init $$'!$B$3:$CG$118,25,FALSE)</f>
        <v>0</v>
      </c>
      <c r="Z110" s="34">
        <f>VLOOKUP($A110,'[1]Init $$'!$B$3:$CG$118,26,FALSE)</f>
        <v>0</v>
      </c>
      <c r="AA110" s="34">
        <f>VLOOKUP($A110,'[1]Init $$'!$B$3:$CG$118,27,FALSE)</f>
        <v>0</v>
      </c>
      <c r="AB110" s="43">
        <f>'Est gen ed 23 $$'!AB110/'Est gen ed 23 pos'!AB$123</f>
        <v>0</v>
      </c>
      <c r="AC110" s="43">
        <f>'Est gen ed 23 $$'!AC110/'Est gen ed 23 pos'!AC$123</f>
        <v>0</v>
      </c>
      <c r="AD110" s="43">
        <f>'Est gen ed 23 $$'!AD110/'Est gen ed 23 pos'!AD$123</f>
        <v>0</v>
      </c>
      <c r="AE110" s="43">
        <f>'Est gen ed 23 $$'!AE110/'Est gen ed 23 pos'!AE$123</f>
        <v>0</v>
      </c>
      <c r="AF110" s="34">
        <f>VLOOKUP($A110,'[1]Init $$'!$B$3:$CG$118,32,FALSE)</f>
        <v>2006928</v>
      </c>
      <c r="AG110" s="34">
        <f>VLOOKUP($A110,'[1]Init $$'!$B$3:$CG$118,33,FALSE)</f>
        <v>144300</v>
      </c>
      <c r="AH110" s="43">
        <f>'Est gen ed 23 $$'!AH110/'Est gen ed 23 pos'!AH$123</f>
        <v>1</v>
      </c>
      <c r="AI110" s="43">
        <f>'Est gen ed 23 $$'!AI110/'Est gen ed 23 pos'!AI$123</f>
        <v>3.9999998243031758</v>
      </c>
      <c r="AJ110" s="43">
        <f>'Est gen ed 23 $$'!AJ110/'Est gen ed 23 pos'!AJ$123</f>
        <v>3.9999998243031758</v>
      </c>
      <c r="AK110" s="43">
        <f>'Est gen ed 23 $$'!AK110/'Est gen ed 23 pos'!AK$123</f>
        <v>1</v>
      </c>
      <c r="AL110" s="43">
        <f>'Est gen ed 23 $$'!AL110/'Est gen ed 23 pos'!AL$123</f>
        <v>1</v>
      </c>
      <c r="AM110" s="43">
        <f>'Est gen ed 23 $$'!AM110/'Est gen ed 23 pos'!AM$123</f>
        <v>0</v>
      </c>
      <c r="AN110" s="43">
        <f>'Est gen ed 23 $$'!AN110/'Est gen ed 23 pos'!AN$123</f>
        <v>1.0000010424267696</v>
      </c>
      <c r="AO110" s="43">
        <f>'Est gen ed 23 $$'!AO110/'Est gen ed 23 pos'!AO$123</f>
        <v>0</v>
      </c>
      <c r="AP110" s="34">
        <f>VLOOKUP($A110,'[1]Init $$'!$B$3:$CG$118,42,FALSE)</f>
        <v>111097.8</v>
      </c>
      <c r="AQ110" s="34">
        <f>VLOOKUP($A110,'[1]Init $$'!$B$3:$CG$118,43,FALSE)</f>
        <v>0</v>
      </c>
      <c r="AR110" s="43">
        <f>'Est gen ed 23 $$'!AR110/'Est gen ed 23 pos'!AR$123</f>
        <v>13.999999560757939</v>
      </c>
      <c r="AS110" s="43">
        <f>'Est gen ed 23 $$'!AS110/'Est gen ed 23 pos'!AS$123</f>
        <v>0</v>
      </c>
      <c r="AT110" s="43">
        <f>'Est gen ed 23 $$'!AT110/'Est gen ed 23 pos'!AT$123</f>
        <v>1.9999997446793083</v>
      </c>
      <c r="AU110" s="34">
        <f>VLOOKUP($A110,'[1]Init $$'!$B$3:$CG$118,47,FALSE)</f>
        <v>537570</v>
      </c>
      <c r="AV110" s="34">
        <f>VLOOKUP($A110,'[1]Init $$'!$B$3:$CG$118,48,FALSE)</f>
        <v>27200</v>
      </c>
      <c r="AW110" s="34">
        <f>VLOOKUP($A110,'[1]Init $$'!$B$3:$CG$118,49,FALSE)</f>
        <v>20400</v>
      </c>
      <c r="AX110" s="34">
        <f>VLOOKUP($A110,'[1]Init $$'!$B$3:$CG$118,50,FALSE)</f>
        <v>0</v>
      </c>
      <c r="AY110" s="34">
        <f>VLOOKUP($A110,'[1]Init $$'!$B$3:$CG$118,51,FALSE)</f>
        <v>0</v>
      </c>
      <c r="AZ110" s="34">
        <f>VLOOKUP($A110,'[1]Init $$'!$B$3:$CG$118,52,FALSE)</f>
        <v>34000</v>
      </c>
      <c r="BA110" s="34">
        <f>VLOOKUP($A110,'[1]Init $$'!$B$3:$CG$118,53,FALSE)</f>
        <v>10200</v>
      </c>
      <c r="BB110" s="34">
        <f>VLOOKUP($A110,'[1]Init $$'!$B$3:$CG$118,54,FALSE)</f>
        <v>27200</v>
      </c>
      <c r="BC110" s="34">
        <f>VLOOKUP($A110,'[1]Init $$'!$B$3:$CG$118,55,FALSE)</f>
        <v>134212.93</v>
      </c>
      <c r="BD110" s="34">
        <f>VLOOKUP($A110,'[1]Init $$'!$B$3:$CG$118,56,FALSE)</f>
        <v>2161.84</v>
      </c>
      <c r="BE110" s="34">
        <f>VLOOKUP($A110,'[1]Init $$'!$B$3:$CG$118,57,FALSE)</f>
        <v>0</v>
      </c>
      <c r="BF110" s="43">
        <f>'Est gen ed 23 $$'!BF110/'Est gen ed 23 pos'!BF$123</f>
        <v>0</v>
      </c>
      <c r="BG110" s="43">
        <f>'Est gen ed 23 $$'!BG110/'Est gen ed 23 pos'!BG$123</f>
        <v>0</v>
      </c>
      <c r="BH110" s="34">
        <f>VLOOKUP($A110,'[1]Init $$'!$B$3:$CG$118,60,FALSE)</f>
        <v>0</v>
      </c>
      <c r="BI110" s="34">
        <f>VLOOKUP($A110,'[1]Init $$'!$B$3:$CG$118,61,FALSE)</f>
        <v>0</v>
      </c>
      <c r="BJ110" s="34">
        <f>VLOOKUP($A110,'[1]Init $$'!$B$3:$CG$118,62,FALSE)</f>
        <v>0</v>
      </c>
      <c r="BK110" s="43">
        <f>'Est gen ed 23 $$'!BK110/'Est gen ed 23 pos'!BK$123</f>
        <v>0</v>
      </c>
      <c r="BL110" s="34">
        <f>VLOOKUP($A110,'[1]Init $$'!$B$3:$CG$118,64,FALSE)</f>
        <v>0</v>
      </c>
      <c r="BM110" s="43">
        <f>'Est gen ed 23 $$'!BM110/'Est gen ed 23 pos'!BM$123</f>
        <v>0</v>
      </c>
      <c r="BN110" s="34">
        <f>VLOOKUP($A110,'[1]Init $$'!$B$3:$CG$118,66,FALSE)</f>
        <v>0</v>
      </c>
      <c r="BO110" s="43">
        <f>'Est gen ed 23 $$'!BO110/'Est gen ed 23 pos'!BO$123</f>
        <v>0</v>
      </c>
      <c r="BP110" s="34">
        <f>VLOOKUP($A110,'[1]Init $$'!$B$3:$CG$118,68,FALSE)</f>
        <v>0</v>
      </c>
      <c r="BQ110" s="43">
        <f>'Est gen ed 23 $$'!BQ110/'Est gen ed 23 pos'!BQ$123</f>
        <v>0</v>
      </c>
      <c r="BR110" s="43">
        <f>'Est gen ed 23 $$'!BR110/'Est gen ed 23 pos'!BR$123</f>
        <v>0</v>
      </c>
      <c r="BS110" s="34">
        <f>VLOOKUP($A110,'[1]Init $$'!$B$3:$CG$118,71,FALSE)</f>
        <v>0</v>
      </c>
      <c r="BT110" s="34">
        <f>VLOOKUP($A110,'[1]Init $$'!$B$3:$CG$118,72,FALSE)</f>
        <v>0</v>
      </c>
      <c r="BU110" s="34">
        <f>VLOOKUP($A110,'[1]Init $$'!$B$3:$CG$118,73,FALSE)</f>
        <v>0</v>
      </c>
      <c r="BV110" s="34">
        <f>VLOOKUP($A110,'[1]Init $$'!$B$3:$CG$118,74,FALSE)</f>
        <v>0</v>
      </c>
      <c r="BW110" s="34">
        <f>VLOOKUP($A110,'[1]Init $$'!$B$3:$CG$118,75,FALSE)</f>
        <v>0</v>
      </c>
      <c r="BX110" s="43">
        <f>'Est gen ed 23 $$'!BX110/'Est gen ed 23 pos'!BX$123</f>
        <v>0</v>
      </c>
      <c r="BY110" s="43">
        <f>'Est gen ed 23 $$'!BY110/'Est gen ed 23 pos'!BY$123</f>
        <v>0</v>
      </c>
      <c r="BZ110" s="43">
        <f>'Est gen ed 23 $$'!BZ110/'Est gen ed 23 pos'!BZ$123</f>
        <v>0</v>
      </c>
      <c r="CA110" s="34">
        <f>VLOOKUP($A110,'[1]Init $$'!$B$3:$CG$118,79,FALSE)</f>
        <v>681356.02</v>
      </c>
      <c r="CB110" s="34">
        <f>VLOOKUP($A110,'[1]Init $$'!$B$3:$CG$118,80,FALSE)</f>
        <v>91267.44</v>
      </c>
      <c r="CC110" s="34">
        <f>VLOOKUP($A110,'[1]Init $$'!$B$3:$CG$118,81,FALSE)</f>
        <v>460231.27</v>
      </c>
      <c r="CD110" s="34">
        <f>VLOOKUP($A110,'[1]Init $$'!$B$3:$CG$118,82,FALSE)</f>
        <v>0</v>
      </c>
      <c r="CE110" s="34">
        <f>VLOOKUP($A110,'[1]Init $$'!$B$3:$CG$118,83,FALSE)</f>
        <v>0</v>
      </c>
      <c r="CF110" s="34">
        <f>VLOOKUP($A110,'[1]Init $$'!$B$3:$CG$118,84,FALSE)</f>
        <v>112146.92</v>
      </c>
      <c r="CJ110" s="28">
        <f t="shared" si="6"/>
        <v>4600452.7199995061</v>
      </c>
      <c r="CK110" s="43">
        <f>'Est gen ed 23 $$'!CK110/'Est gen ed 23 pos'!CK$123</f>
        <v>0.99999604682144683</v>
      </c>
      <c r="CL110" s="43">
        <f>'Est gen ed 23 $$'!CL110/'Est gen ed 23 pos'!CL$123</f>
        <v>1.1100000000000001</v>
      </c>
      <c r="CM110" s="43">
        <f>'Est gen ed 23 $$'!CM110/'Est gen ed 23 pos'!CM$123</f>
        <v>1</v>
      </c>
      <c r="CN110" s="43">
        <f>'Est gen ed 23 $$'!CN110/'Est gen ed 23 pos'!CN$123</f>
        <v>0.90090090090090091</v>
      </c>
      <c r="CO110" s="43">
        <f>'Est gen ed 23 $$'!CO110/'Est gen ed 23 pos'!CO$123</f>
        <v>0</v>
      </c>
      <c r="CP110" s="43">
        <f>'Est gen ed 23 $$'!CP110/'Est gen ed 23 pos'!CP$123</f>
        <v>0</v>
      </c>
      <c r="CQ110" s="43">
        <f>'Est gen ed 23 $$'!CQ110/'Est gen ed 23 pos'!CQ$123</f>
        <v>1.4999940702321701</v>
      </c>
      <c r="CR110" s="43">
        <f>'Est gen ed 23 $$'!CR110/'Est gen ed 23 pos'!CR$123</f>
        <v>1.4999940702321701</v>
      </c>
      <c r="CS110" s="43">
        <f>'Est gen ed 23 $$'!CS110/'Est gen ed 23 pos'!CS$123</f>
        <v>1.9999920936428937</v>
      </c>
      <c r="CT110" s="43">
        <f>'Est gen ed 23 $$'!CT110/'Est gen ed 23 pos'!CT$123</f>
        <v>4</v>
      </c>
      <c r="CU110" s="43">
        <f>'Est gen ed 23 $$'!CU110/'Est gen ed 23 pos'!CU$123</f>
        <v>18</v>
      </c>
      <c r="CZ110" s="43">
        <f>'Est gen ed 23 $$'!CW110/'Est gen ed 23 pos'!CZ$123</f>
        <v>0</v>
      </c>
      <c r="DB110" s="28">
        <f t="shared" si="7"/>
        <v>2006928</v>
      </c>
      <c r="DC110" s="28">
        <f t="shared" si="4"/>
        <v>572378.19000000006</v>
      </c>
      <c r="DK110" s="34"/>
      <c r="DL110" s="34"/>
    </row>
    <row r="111" spans="1:116" x14ac:dyDescent="0.2">
      <c r="A111">
        <v>328</v>
      </c>
      <c r="B111" t="s">
        <v>14</v>
      </c>
      <c r="C111" t="s">
        <v>7</v>
      </c>
      <c r="D111">
        <v>1</v>
      </c>
      <c r="E111">
        <f>VLOOKUP($A111,'[1]Init $$'!$B$3:$CG$118,4,FALSE)</f>
        <v>539</v>
      </c>
      <c r="F111">
        <f>VLOOKUP($A111,'[1]Init $$'!$B$3:$CG$118,6,FALSE)</f>
        <v>475</v>
      </c>
      <c r="G111">
        <f>VLOOKUP($A111,'[2]$$xSchpostCouncilxLevel'!$A$4:$EW$120,153,FALSE)</f>
        <v>485</v>
      </c>
      <c r="H111" s="50">
        <f t="shared" si="5"/>
        <v>-10</v>
      </c>
      <c r="I111" s="4">
        <f>VLOOKUP($A111,'[1]Init $$'!$B$3:$CG$118,8,FALSE)</f>
        <v>0.53617810760667906</v>
      </c>
      <c r="J111">
        <f>VLOOKUP($A111,'[1]Init $$'!$B$3:$CG$118,7,FALSE)</f>
        <v>289</v>
      </c>
      <c r="K111" s="43">
        <f>'Est gen ed 23 $$'!K111/'Est gen ed 23 pos'!K$123</f>
        <v>1</v>
      </c>
      <c r="L111" s="43">
        <f>'Est gen ed 23 $$'!L111/'Est gen ed 23 pos'!L$123</f>
        <v>0</v>
      </c>
      <c r="M111" s="43">
        <f>'Est gen ed 23 $$'!M111/'Est gen ed 23 pos'!M$123</f>
        <v>0</v>
      </c>
      <c r="N111" s="43">
        <f>'Est gen ed 23 $$'!N111/'Est gen ed 23 pos'!N$123</f>
        <v>1</v>
      </c>
      <c r="O111" s="34">
        <f>VLOOKUP($A111,'[1]Init $$'!$B$3:$CG$118,15,FALSE)</f>
        <v>6321.8</v>
      </c>
      <c r="P111" s="43">
        <f>'Est gen ed 23 $$'!P111/'Est gen ed 23 pos'!P$123</f>
        <v>1</v>
      </c>
      <c r="Q111" s="43">
        <f>'Est gen ed 23 $$'!Q111/'Est gen ed 23 pos'!Q$123</f>
        <v>1</v>
      </c>
      <c r="R111" s="43">
        <f>'Est gen ed 23 $$'!R111/'Est gen ed 23 pos'!R$123</f>
        <v>3.0000001953611113</v>
      </c>
      <c r="S111" s="43">
        <f>'Est gen ed 23 $$'!S111/'Est gen ed 23 pos'!S$123</f>
        <v>1</v>
      </c>
      <c r="T111" s="43">
        <f>'Est gen ed 23 $$'!T111/'Est gen ed 23 pos'!T$123</f>
        <v>0</v>
      </c>
      <c r="U111" s="43">
        <f>'Est gen ed 23 $$'!U111/'Est gen ed 23 pos'!U$123</f>
        <v>3.9999998243031758</v>
      </c>
      <c r="V111" s="43">
        <f>'Est gen ed 23 $$'!V111/'Est gen ed 23 pos'!V$123</f>
        <v>0</v>
      </c>
      <c r="W111" s="43">
        <f>'Est gen ed 23 $$'!W111/'Est gen ed 23 pos'!W$123</f>
        <v>3.9999997446793079</v>
      </c>
      <c r="X111" s="34">
        <f>VLOOKUP($A111,'[1]Init $$'!$B$3:$CG$118,24,FALSE)</f>
        <v>114681.60000000001</v>
      </c>
      <c r="Y111" s="34">
        <f>VLOOKUP($A111,'[1]Init $$'!$B$3:$CG$118,25,FALSE)</f>
        <v>0</v>
      </c>
      <c r="Z111" s="34">
        <f>VLOOKUP($A111,'[1]Init $$'!$B$3:$CG$118,26,FALSE)</f>
        <v>0</v>
      </c>
      <c r="AA111" s="34">
        <f>VLOOKUP($A111,'[1]Init $$'!$B$3:$CG$118,27,FALSE)</f>
        <v>0</v>
      </c>
      <c r="AB111" s="43">
        <f>'Est gen ed 23 $$'!AB111/'Est gen ed 23 pos'!AB$123</f>
        <v>0</v>
      </c>
      <c r="AC111" s="43">
        <f>'Est gen ed 23 $$'!AC111/'Est gen ed 23 pos'!AC$123</f>
        <v>0</v>
      </c>
      <c r="AD111" s="43">
        <f>'Est gen ed 23 $$'!AD111/'Est gen ed 23 pos'!AD$123</f>
        <v>0</v>
      </c>
      <c r="AE111" s="43">
        <f>'Est gen ed 23 $$'!AE111/'Est gen ed 23 pos'!AE$123</f>
        <v>0</v>
      </c>
      <c r="AF111" s="34">
        <f>VLOOKUP($A111,'[1]Init $$'!$B$3:$CG$118,32,FALSE)</f>
        <v>2837175</v>
      </c>
      <c r="AG111" s="34">
        <f>VLOOKUP($A111,'[1]Init $$'!$B$3:$CG$118,33,FALSE)</f>
        <v>175175</v>
      </c>
      <c r="AH111" s="43">
        <f>'Est gen ed 23 $$'!AH111/'Est gen ed 23 pos'!AH$123</f>
        <v>1</v>
      </c>
      <c r="AI111" s="43">
        <f>'Est gen ed 23 $$'!AI111/'Est gen ed 23 pos'!AI$123</f>
        <v>2.9999999121515879</v>
      </c>
      <c r="AJ111" s="43">
        <f>'Est gen ed 23 $$'!AJ111/'Est gen ed 23 pos'!AJ$123</f>
        <v>7.9999997364547628</v>
      </c>
      <c r="AK111" s="43">
        <f>'Est gen ed 23 $$'!AK111/'Est gen ed 23 pos'!AK$123</f>
        <v>3.9999998243031758</v>
      </c>
      <c r="AL111" s="43">
        <f>'Est gen ed 23 $$'!AL111/'Est gen ed 23 pos'!AL$123</f>
        <v>5.9999994893586166</v>
      </c>
      <c r="AM111" s="43">
        <f>'Est gen ed 23 $$'!AM111/'Est gen ed 23 pos'!AM$123</f>
        <v>0</v>
      </c>
      <c r="AN111" s="43">
        <f>'Est gen ed 23 $$'!AN111/'Est gen ed 23 pos'!AN$123</f>
        <v>0</v>
      </c>
      <c r="AO111" s="43">
        <f>'Est gen ed 23 $$'!AO111/'Est gen ed 23 pos'!AO$123</f>
        <v>0</v>
      </c>
      <c r="AP111" s="34">
        <f>VLOOKUP($A111,'[1]Init $$'!$B$3:$CG$118,42,FALSE)</f>
        <v>238322.7</v>
      </c>
      <c r="AQ111" s="34">
        <f>VLOOKUP($A111,'[1]Init $$'!$B$3:$CG$118,43,FALSE)</f>
        <v>0</v>
      </c>
      <c r="AR111" s="43">
        <f>'Est gen ed 23 $$'!AR111/'Est gen ed 23 pos'!AR$123</f>
        <v>13.999999560757939</v>
      </c>
      <c r="AS111" s="43">
        <f>'Est gen ed 23 $$'!AS111/'Est gen ed 23 pos'!AS$123</f>
        <v>0</v>
      </c>
      <c r="AT111" s="43">
        <f>'Est gen ed 23 $$'!AT111/'Est gen ed 23 pos'!AT$123</f>
        <v>1</v>
      </c>
      <c r="AU111" s="34">
        <f>VLOOKUP($A111,'[1]Init $$'!$B$3:$CG$118,47,FALSE)</f>
        <v>537570</v>
      </c>
      <c r="AV111" s="34">
        <f>VLOOKUP($A111,'[1]Init $$'!$B$3:$CG$118,48,FALSE)</f>
        <v>0</v>
      </c>
      <c r="AW111" s="34">
        <f>VLOOKUP($A111,'[1]Init $$'!$B$3:$CG$118,49,FALSE)</f>
        <v>0</v>
      </c>
      <c r="AX111" s="34">
        <f>VLOOKUP($A111,'[1]Init $$'!$B$3:$CG$118,50,FALSE)</f>
        <v>0</v>
      </c>
      <c r="AY111" s="34">
        <f>VLOOKUP($A111,'[1]Init $$'!$B$3:$CG$118,51,FALSE)</f>
        <v>0</v>
      </c>
      <c r="AZ111" s="34">
        <f>VLOOKUP($A111,'[1]Init $$'!$B$3:$CG$118,52,FALSE)</f>
        <v>0</v>
      </c>
      <c r="BA111" s="34">
        <f>VLOOKUP($A111,'[1]Init $$'!$B$3:$CG$118,53,FALSE)</f>
        <v>0</v>
      </c>
      <c r="BB111" s="34">
        <f>VLOOKUP($A111,'[1]Init $$'!$B$3:$CG$118,54,FALSE)</f>
        <v>0</v>
      </c>
      <c r="BC111" s="34">
        <f>VLOOKUP($A111,'[1]Init $$'!$B$3:$CG$118,55,FALSE)</f>
        <v>229460.82</v>
      </c>
      <c r="BD111" s="34">
        <f>VLOOKUP($A111,'[1]Init $$'!$B$3:$CG$118,56,FALSE)</f>
        <v>3696.05</v>
      </c>
      <c r="BE111" s="34">
        <f>VLOOKUP($A111,'[1]Init $$'!$B$3:$CG$118,57,FALSE)</f>
        <v>0</v>
      </c>
      <c r="BF111" s="43">
        <f>'Est gen ed 23 $$'!BF111/'Est gen ed 23 pos'!BF$123</f>
        <v>0</v>
      </c>
      <c r="BG111" s="43">
        <f>'Est gen ed 23 $$'!BG111/'Est gen ed 23 pos'!BG$123</f>
        <v>0</v>
      </c>
      <c r="BH111" s="34">
        <f>VLOOKUP($A111,'[1]Init $$'!$B$3:$CG$118,60,FALSE)</f>
        <v>0</v>
      </c>
      <c r="BI111" s="34">
        <f>VLOOKUP($A111,'[1]Init $$'!$B$3:$CG$118,61,FALSE)</f>
        <v>0</v>
      </c>
      <c r="BJ111" s="34">
        <f>VLOOKUP($A111,'[1]Init $$'!$B$3:$CG$118,62,FALSE)</f>
        <v>0</v>
      </c>
      <c r="BK111" s="43">
        <f>'Est gen ed 23 $$'!BK111/'Est gen ed 23 pos'!BK$123</f>
        <v>0</v>
      </c>
      <c r="BL111" s="34">
        <f>VLOOKUP($A111,'[1]Init $$'!$B$3:$CG$118,64,FALSE)</f>
        <v>0</v>
      </c>
      <c r="BM111" s="43">
        <f>'Est gen ed 23 $$'!BM111/'Est gen ed 23 pos'!BM$123</f>
        <v>0</v>
      </c>
      <c r="BN111" s="34">
        <f>VLOOKUP($A111,'[1]Init $$'!$B$3:$CG$118,66,FALSE)</f>
        <v>0</v>
      </c>
      <c r="BO111" s="43">
        <f>'Est gen ed 23 $$'!BO111/'Est gen ed 23 pos'!BO$123</f>
        <v>0</v>
      </c>
      <c r="BP111" s="34">
        <f>VLOOKUP($A111,'[1]Init $$'!$B$3:$CG$118,68,FALSE)</f>
        <v>0</v>
      </c>
      <c r="BQ111" s="43">
        <f>'Est gen ed 23 $$'!BQ111/'Est gen ed 23 pos'!BQ$123</f>
        <v>0</v>
      </c>
      <c r="BR111" s="43">
        <f>'Est gen ed 23 $$'!BR111/'Est gen ed 23 pos'!BR$123</f>
        <v>0</v>
      </c>
      <c r="BS111" s="34">
        <f>VLOOKUP($A111,'[1]Init $$'!$B$3:$CG$118,71,FALSE)</f>
        <v>0</v>
      </c>
      <c r="BT111" s="34">
        <f>VLOOKUP($A111,'[1]Init $$'!$B$3:$CG$118,72,FALSE)</f>
        <v>0</v>
      </c>
      <c r="BU111" s="34">
        <f>VLOOKUP($A111,'[1]Init $$'!$B$3:$CG$118,73,FALSE)</f>
        <v>0</v>
      </c>
      <c r="BV111" s="34">
        <f>VLOOKUP($A111,'[1]Init $$'!$B$3:$CG$118,74,FALSE)</f>
        <v>0</v>
      </c>
      <c r="BW111" s="34">
        <f>VLOOKUP($A111,'[1]Init $$'!$B$3:$CG$118,75,FALSE)</f>
        <v>0</v>
      </c>
      <c r="BX111" s="43">
        <f>'Est gen ed 23 $$'!BX111/'Est gen ed 23 pos'!BX$123</f>
        <v>0</v>
      </c>
      <c r="BY111" s="43">
        <f>'Est gen ed 23 $$'!BY111/'Est gen ed 23 pos'!BY$123</f>
        <v>0</v>
      </c>
      <c r="BZ111" s="43">
        <f>'Est gen ed 23 $$'!BZ111/'Est gen ed 23 pos'!BZ$123</f>
        <v>0</v>
      </c>
      <c r="CA111" s="34">
        <f>VLOOKUP($A111,'[1]Init $$'!$B$3:$CG$118,79,FALSE)</f>
        <v>775243.66</v>
      </c>
      <c r="CB111" s="34">
        <f>VLOOKUP($A111,'[1]Init $$'!$B$3:$CG$118,80,FALSE)</f>
        <v>87683.64</v>
      </c>
      <c r="CC111" s="34">
        <f>VLOOKUP($A111,'[1]Init $$'!$B$3:$CG$118,81,FALSE)</f>
        <v>0</v>
      </c>
      <c r="CD111" s="34">
        <f>VLOOKUP($A111,'[1]Init $$'!$B$3:$CG$118,82,FALSE)</f>
        <v>0</v>
      </c>
      <c r="CE111" s="34">
        <f>VLOOKUP($A111,'[1]Init $$'!$B$3:$CG$118,83,FALSE)</f>
        <v>0</v>
      </c>
      <c r="CF111" s="34">
        <f>VLOOKUP($A111,'[1]Init $$'!$B$3:$CG$118,84,FALSE)</f>
        <v>0</v>
      </c>
      <c r="CJ111" s="28">
        <f t="shared" si="6"/>
        <v>5005383.2699982869</v>
      </c>
      <c r="CK111" s="43">
        <f>'Est gen ed 23 $$'!CK111/'Est gen ed 23 pos'!CK$123</f>
        <v>0.99999604682144683</v>
      </c>
      <c r="CL111" s="43">
        <f>'Est gen ed 23 $$'!CL111/'Est gen ed 23 pos'!CL$123</f>
        <v>1.3474999999999999</v>
      </c>
      <c r="CM111" s="43">
        <f>'Est gen ed 23 $$'!CM111/'Est gen ed 23 pos'!CM$123</f>
        <v>1</v>
      </c>
      <c r="CN111" s="43">
        <f>'Est gen ed 23 $$'!CN111/'Est gen ed 23 pos'!CN$123</f>
        <v>0.74211502782931349</v>
      </c>
      <c r="CO111" s="43">
        <f>'Est gen ed 23 $$'!CO111/'Est gen ed 23 pos'!CO$123</f>
        <v>0</v>
      </c>
      <c r="CP111" s="43">
        <f>'Est gen ed 23 $$'!CP111/'Est gen ed 23 pos'!CP$123</f>
        <v>0</v>
      </c>
      <c r="CQ111" s="43">
        <f>'Est gen ed 23 $$'!CQ111/'Est gen ed 23 pos'!CQ$123</f>
        <v>1.4999940702321701</v>
      </c>
      <c r="CR111" s="43">
        <f>'Est gen ed 23 $$'!CR111/'Est gen ed 23 pos'!CR$123</f>
        <v>1.4999940702321701</v>
      </c>
      <c r="CS111" s="43">
        <f>'Est gen ed 23 $$'!CS111/'Est gen ed 23 pos'!CS$123</f>
        <v>2.499990117053617</v>
      </c>
      <c r="CT111" s="43">
        <f>'Est gen ed 23 $$'!CT111/'Est gen ed 23 pos'!CT$123</f>
        <v>4</v>
      </c>
      <c r="CU111" s="43">
        <f>'Est gen ed 23 $$'!CU111/'Est gen ed 23 pos'!CU$123</f>
        <v>24</v>
      </c>
      <c r="CZ111" s="43">
        <f>'Est gen ed 23 $$'!CW111/'Est gen ed 23 pos'!CZ$123</f>
        <v>0</v>
      </c>
      <c r="DB111" s="28">
        <f t="shared" si="7"/>
        <v>2837175</v>
      </c>
      <c r="DC111" s="28">
        <f t="shared" si="4"/>
        <v>0</v>
      </c>
      <c r="DK111" s="34"/>
      <c r="DL111" s="34"/>
    </row>
    <row r="112" spans="1:116" x14ac:dyDescent="0.2">
      <c r="A112">
        <v>329</v>
      </c>
      <c r="B112" t="s">
        <v>13</v>
      </c>
      <c r="C112" t="s">
        <v>7</v>
      </c>
      <c r="D112">
        <v>8</v>
      </c>
      <c r="E112">
        <f>VLOOKUP($A112,'[1]Init $$'!$B$3:$CG$118,4,FALSE)</f>
        <v>514</v>
      </c>
      <c r="F112">
        <f>VLOOKUP($A112,'[1]Init $$'!$B$3:$CG$118,6,FALSE)</f>
        <v>430</v>
      </c>
      <c r="G112">
        <f>VLOOKUP($A112,'[2]$$xSchpostCouncilxLevel'!$A$4:$EW$120,153,FALSE)</f>
        <v>406</v>
      </c>
      <c r="H112" s="50">
        <f t="shared" si="5"/>
        <v>24</v>
      </c>
      <c r="I112" s="4">
        <f>VLOOKUP($A112,'[1]Init $$'!$B$3:$CG$118,8,FALSE)</f>
        <v>0.80544747081712065</v>
      </c>
      <c r="J112">
        <f>VLOOKUP($A112,'[1]Init $$'!$B$3:$CG$118,7,FALSE)</f>
        <v>414</v>
      </c>
      <c r="K112" s="43">
        <f>'Est gen ed 23 $$'!K112/'Est gen ed 23 pos'!K$123</f>
        <v>1</v>
      </c>
      <c r="L112" s="43">
        <f>'Est gen ed 23 $$'!L112/'Est gen ed 23 pos'!L$123</f>
        <v>0</v>
      </c>
      <c r="M112" s="43">
        <f>'Est gen ed 23 $$'!M112/'Est gen ed 23 pos'!M$123</f>
        <v>0</v>
      </c>
      <c r="N112" s="43">
        <f>'Est gen ed 23 $$'!N112/'Est gen ed 23 pos'!N$123</f>
        <v>1</v>
      </c>
      <c r="O112" s="34">
        <f>VLOOKUP($A112,'[1]Init $$'!$B$3:$CG$118,15,FALSE)</f>
        <v>7155.45</v>
      </c>
      <c r="P112" s="43">
        <f>'Est gen ed 23 $$'!P112/'Est gen ed 23 pos'!P$123</f>
        <v>1</v>
      </c>
      <c r="Q112" s="43">
        <f>'Est gen ed 23 $$'!Q112/'Est gen ed 23 pos'!Q$123</f>
        <v>1</v>
      </c>
      <c r="R112" s="43">
        <f>'Est gen ed 23 $$'!R112/'Est gen ed 23 pos'!R$123</f>
        <v>3.0000001953611113</v>
      </c>
      <c r="S112" s="43">
        <f>'Est gen ed 23 $$'!S112/'Est gen ed 23 pos'!S$123</f>
        <v>1</v>
      </c>
      <c r="T112" s="43">
        <f>'Est gen ed 23 $$'!T112/'Est gen ed 23 pos'!T$123</f>
        <v>1.9999999121515879</v>
      </c>
      <c r="U112" s="43">
        <f>'Est gen ed 23 $$'!U112/'Est gen ed 23 pos'!U$123</f>
        <v>1</v>
      </c>
      <c r="V112" s="43">
        <f>'Est gen ed 23 $$'!V112/'Est gen ed 23 pos'!V$123</f>
        <v>1.9999999121515879</v>
      </c>
      <c r="W112" s="43">
        <f>'Est gen ed 23 $$'!W112/'Est gen ed 23 pos'!W$123</f>
        <v>4.9999994893586166</v>
      </c>
      <c r="X112" s="34">
        <f>VLOOKUP($A112,'[1]Init $$'!$B$3:$CG$118,24,FALSE)</f>
        <v>150519.6</v>
      </c>
      <c r="Y112" s="34">
        <f>VLOOKUP($A112,'[1]Init $$'!$B$3:$CG$118,25,FALSE)</f>
        <v>0</v>
      </c>
      <c r="Z112" s="34">
        <f>VLOOKUP($A112,'[1]Init $$'!$B$3:$CG$118,26,FALSE)</f>
        <v>0</v>
      </c>
      <c r="AA112" s="34">
        <f>VLOOKUP($A112,'[1]Init $$'!$B$3:$CG$118,27,FALSE)</f>
        <v>0</v>
      </c>
      <c r="AB112" s="43">
        <f>'Est gen ed 23 $$'!AB112/'Est gen ed 23 pos'!AB$123</f>
        <v>0</v>
      </c>
      <c r="AC112" s="43">
        <f>'Est gen ed 23 $$'!AC112/'Est gen ed 23 pos'!AC$123</f>
        <v>0</v>
      </c>
      <c r="AD112" s="43">
        <f>'Est gen ed 23 $$'!AD112/'Est gen ed 23 pos'!AD$123</f>
        <v>0</v>
      </c>
      <c r="AE112" s="43">
        <f>'Est gen ed 23 $$'!AE112/'Est gen ed 23 pos'!AE$123</f>
        <v>0</v>
      </c>
      <c r="AF112" s="34">
        <f>VLOOKUP($A112,'[1]Init $$'!$B$3:$CG$118,32,FALSE)</f>
        <v>2568390</v>
      </c>
      <c r="AG112" s="34">
        <f>VLOOKUP($A112,'[1]Init $$'!$B$3:$CG$118,33,FALSE)</f>
        <v>167050</v>
      </c>
      <c r="AH112" s="43">
        <f>'Est gen ed 23 $$'!AH112/'Est gen ed 23 pos'!AH$123</f>
        <v>1</v>
      </c>
      <c r="AI112" s="43">
        <f>'Est gen ed 23 $$'!AI112/'Est gen ed 23 pos'!AI$123</f>
        <v>1.9999999121515879</v>
      </c>
      <c r="AJ112" s="43">
        <f>'Est gen ed 23 $$'!AJ112/'Est gen ed 23 pos'!AJ$123</f>
        <v>4.9999998243031758</v>
      </c>
      <c r="AK112" s="43">
        <f>'Est gen ed 23 $$'!AK112/'Est gen ed 23 pos'!AK$123</f>
        <v>4.9999998243031758</v>
      </c>
      <c r="AL112" s="43">
        <f>'Est gen ed 23 $$'!AL112/'Est gen ed 23 pos'!AL$123</f>
        <v>9.9999992340379258</v>
      </c>
      <c r="AM112" s="43">
        <f>'Est gen ed 23 $$'!AM112/'Est gen ed 23 pos'!AM$123</f>
        <v>0</v>
      </c>
      <c r="AN112" s="43">
        <f>'Est gen ed 23 $$'!AN112/'Est gen ed 23 pos'!AN$123</f>
        <v>0</v>
      </c>
      <c r="AO112" s="43">
        <f>'Est gen ed 23 $$'!AO112/'Est gen ed 23 pos'!AO$123</f>
        <v>0</v>
      </c>
      <c r="AP112" s="34">
        <f>VLOOKUP($A112,'[1]Init $$'!$B$3:$CG$118,42,FALSE)</f>
        <v>168438.6</v>
      </c>
      <c r="AQ112" s="34">
        <f>VLOOKUP($A112,'[1]Init $$'!$B$3:$CG$118,43,FALSE)</f>
        <v>0</v>
      </c>
      <c r="AR112" s="43">
        <f>'Est gen ed 23 $$'!AR112/'Est gen ed 23 pos'!AR$123</f>
        <v>0</v>
      </c>
      <c r="AS112" s="43">
        <f>'Est gen ed 23 $$'!AS112/'Est gen ed 23 pos'!AS$123</f>
        <v>8.9999995607579389E-2</v>
      </c>
      <c r="AT112" s="43">
        <f>'Est gen ed 23 $$'!AT112/'Est gen ed 23 pos'!AT$123</f>
        <v>0</v>
      </c>
      <c r="AU112" s="34">
        <f>VLOOKUP($A112,'[1]Init $$'!$B$3:$CG$118,47,FALSE)</f>
        <v>3583.8</v>
      </c>
      <c r="AV112" s="34">
        <f>VLOOKUP($A112,'[1]Init $$'!$B$3:$CG$118,48,FALSE)</f>
        <v>20400</v>
      </c>
      <c r="AW112" s="34">
        <f>VLOOKUP($A112,'[1]Init $$'!$B$3:$CG$118,49,FALSE)</f>
        <v>13600</v>
      </c>
      <c r="AX112" s="34">
        <f>VLOOKUP($A112,'[1]Init $$'!$B$3:$CG$118,50,FALSE)</f>
        <v>0</v>
      </c>
      <c r="AY112" s="34">
        <f>VLOOKUP($A112,'[1]Init $$'!$B$3:$CG$118,51,FALSE)</f>
        <v>0</v>
      </c>
      <c r="AZ112" s="34">
        <f>VLOOKUP($A112,'[1]Init $$'!$B$3:$CG$118,52,FALSE)</f>
        <v>27200</v>
      </c>
      <c r="BA112" s="34">
        <f>VLOOKUP($A112,'[1]Init $$'!$B$3:$CG$118,53,FALSE)</f>
        <v>10200</v>
      </c>
      <c r="BB112" s="34">
        <f>VLOOKUP($A112,'[1]Init $$'!$B$3:$CG$118,54,FALSE)</f>
        <v>20400</v>
      </c>
      <c r="BC112" s="34">
        <f>VLOOKUP($A112,'[1]Init $$'!$B$3:$CG$118,55,FALSE)</f>
        <v>278167.12</v>
      </c>
      <c r="BD112" s="34">
        <f>VLOOKUP($A112,'[1]Init $$'!$B$3:$CG$118,56,FALSE)</f>
        <v>4480.59</v>
      </c>
      <c r="BE112" s="34">
        <f>VLOOKUP($A112,'[1]Init $$'!$B$3:$CG$118,57,FALSE)</f>
        <v>0</v>
      </c>
      <c r="BF112" s="43">
        <f>'Est gen ed 23 $$'!BF112/'Est gen ed 23 pos'!BF$123</f>
        <v>0</v>
      </c>
      <c r="BG112" s="43">
        <f>'Est gen ed 23 $$'!BG112/'Est gen ed 23 pos'!BG$123</f>
        <v>0</v>
      </c>
      <c r="BH112" s="34">
        <f>VLOOKUP($A112,'[1]Init $$'!$B$3:$CG$118,60,FALSE)</f>
        <v>0</v>
      </c>
      <c r="BI112" s="34">
        <f>VLOOKUP($A112,'[1]Init $$'!$B$3:$CG$118,61,FALSE)</f>
        <v>0</v>
      </c>
      <c r="BJ112" s="34">
        <f>VLOOKUP($A112,'[1]Init $$'!$B$3:$CG$118,62,FALSE)</f>
        <v>0</v>
      </c>
      <c r="BK112" s="43">
        <f>'Est gen ed 23 $$'!BK112/'Est gen ed 23 pos'!BK$123</f>
        <v>1</v>
      </c>
      <c r="BL112" s="34">
        <f>VLOOKUP($A112,'[1]Init $$'!$B$3:$CG$118,64,FALSE)</f>
        <v>19455</v>
      </c>
      <c r="BM112" s="43">
        <f>'Est gen ed 23 $$'!BM112/'Est gen ed 23 pos'!BM$123</f>
        <v>0</v>
      </c>
      <c r="BN112" s="34">
        <f>VLOOKUP($A112,'[1]Init $$'!$B$3:$CG$118,66,FALSE)</f>
        <v>0</v>
      </c>
      <c r="BO112" s="43">
        <f>'Est gen ed 23 $$'!BO112/'Est gen ed 23 pos'!BO$123</f>
        <v>0</v>
      </c>
      <c r="BP112" s="34">
        <f>VLOOKUP($A112,'[1]Init $$'!$B$3:$CG$118,68,FALSE)</f>
        <v>0</v>
      </c>
      <c r="BQ112" s="43">
        <f>'Est gen ed 23 $$'!BQ112/'Est gen ed 23 pos'!BQ$123</f>
        <v>0</v>
      </c>
      <c r="BR112" s="43">
        <f>'Est gen ed 23 $$'!BR112/'Est gen ed 23 pos'!BR$123</f>
        <v>0</v>
      </c>
      <c r="BS112" s="34">
        <f>VLOOKUP($A112,'[1]Init $$'!$B$3:$CG$118,71,FALSE)</f>
        <v>0</v>
      </c>
      <c r="BT112" s="34">
        <f>VLOOKUP($A112,'[1]Init $$'!$B$3:$CG$118,72,FALSE)</f>
        <v>0</v>
      </c>
      <c r="BU112" s="34">
        <f>VLOOKUP($A112,'[1]Init $$'!$B$3:$CG$118,73,FALSE)</f>
        <v>15325</v>
      </c>
      <c r="BV112" s="34">
        <f>VLOOKUP($A112,'[1]Init $$'!$B$3:$CG$118,74,FALSE)</f>
        <v>0</v>
      </c>
      <c r="BW112" s="34">
        <f>VLOOKUP($A112,'[1]Init $$'!$B$3:$CG$118,75,FALSE)</f>
        <v>0</v>
      </c>
      <c r="BX112" s="43">
        <f>'Est gen ed 23 $$'!BX112/'Est gen ed 23 pos'!BX$123</f>
        <v>0</v>
      </c>
      <c r="BY112" s="43">
        <f>'Est gen ed 23 $$'!BY112/'Est gen ed 23 pos'!BY$123</f>
        <v>0</v>
      </c>
      <c r="BZ112" s="43">
        <f>'Est gen ed 23 $$'!BZ112/'Est gen ed 23 pos'!BZ$123</f>
        <v>0</v>
      </c>
      <c r="CA112" s="34">
        <f>VLOOKUP($A112,'[1]Init $$'!$B$3:$CG$118,79,FALSE)</f>
        <v>1110556.6599999999</v>
      </c>
      <c r="CB112" s="34">
        <f>VLOOKUP($A112,'[1]Init $$'!$B$3:$CG$118,80,FALSE)</f>
        <v>248954.64</v>
      </c>
      <c r="CC112" s="34">
        <f>VLOOKUP($A112,'[1]Init $$'!$B$3:$CG$118,81,FALSE)</f>
        <v>0</v>
      </c>
      <c r="CD112" s="34">
        <f>VLOOKUP($A112,'[1]Init $$'!$B$3:$CG$118,82,FALSE)</f>
        <v>0</v>
      </c>
      <c r="CE112" s="34">
        <f>VLOOKUP($A112,'[1]Init $$'!$B$3:$CG$118,83,FALSE)</f>
        <v>0</v>
      </c>
      <c r="CF112" s="34">
        <f>VLOOKUP($A112,'[1]Init $$'!$B$3:$CG$118,84,FALSE)</f>
        <v>0</v>
      </c>
      <c r="CJ112" s="28">
        <f t="shared" si="6"/>
        <v>4833918.5499982992</v>
      </c>
      <c r="CK112" s="43">
        <f>'Est gen ed 23 $$'!CK112/'Est gen ed 23 pos'!CK$123</f>
        <v>0.99999604682144683</v>
      </c>
      <c r="CL112" s="43">
        <f>'Est gen ed 23 $$'!CL112/'Est gen ed 23 pos'!CL$123</f>
        <v>1.2849999999999999</v>
      </c>
      <c r="CM112" s="43">
        <f>'Est gen ed 23 $$'!CM112/'Est gen ed 23 pos'!CM$123</f>
        <v>1</v>
      </c>
      <c r="CN112" s="43">
        <f>'Est gen ed 23 $$'!CN112/'Est gen ed 23 pos'!CN$123</f>
        <v>0.77821011673151752</v>
      </c>
      <c r="CO112" s="43">
        <f>'Est gen ed 23 $$'!CO112/'Est gen ed 23 pos'!CO$123</f>
        <v>0</v>
      </c>
      <c r="CP112" s="43">
        <f>'Est gen ed 23 $$'!CP112/'Est gen ed 23 pos'!CP$123</f>
        <v>0</v>
      </c>
      <c r="CQ112" s="43">
        <f>'Est gen ed 23 $$'!CQ112/'Est gen ed 23 pos'!CQ$123</f>
        <v>1.4999940702321701</v>
      </c>
      <c r="CR112" s="43">
        <f>'Est gen ed 23 $$'!CR112/'Est gen ed 23 pos'!CR$123</f>
        <v>1.4999940702321701</v>
      </c>
      <c r="CS112" s="43">
        <f>'Est gen ed 23 $$'!CS112/'Est gen ed 23 pos'!CS$123</f>
        <v>2.499990117053617</v>
      </c>
      <c r="CT112" s="43">
        <f>'Est gen ed 23 $$'!CT112/'Est gen ed 23 pos'!CT$123</f>
        <v>3</v>
      </c>
      <c r="CU112" s="43">
        <f>'Est gen ed 23 $$'!CU112/'Est gen ed 23 pos'!CU$123</f>
        <v>22</v>
      </c>
      <c r="CZ112" s="43">
        <f>'Est gen ed 23 $$'!CW112/'Est gen ed 23 pos'!CZ$123</f>
        <v>0</v>
      </c>
      <c r="DB112" s="28">
        <f t="shared" si="7"/>
        <v>2568390</v>
      </c>
      <c r="DC112" s="28">
        <f t="shared" si="4"/>
        <v>0</v>
      </c>
      <c r="DK112" s="34"/>
      <c r="DL112" s="34"/>
    </row>
    <row r="113" spans="1:137" x14ac:dyDescent="0.2">
      <c r="A113">
        <v>330</v>
      </c>
      <c r="B113" t="s">
        <v>12</v>
      </c>
      <c r="C113" t="s">
        <v>7</v>
      </c>
      <c r="D113">
        <v>6</v>
      </c>
      <c r="E113">
        <f>VLOOKUP($A113,'[1]Init $$'!$B$3:$CG$118,4,FALSE)</f>
        <v>511</v>
      </c>
      <c r="F113">
        <f>VLOOKUP($A113,'[1]Init $$'!$B$3:$CG$118,6,FALSE)</f>
        <v>383</v>
      </c>
      <c r="G113">
        <f>VLOOKUP($A113,'[2]$$xSchpostCouncilxLevel'!$A$4:$EW$120,153,FALSE)</f>
        <v>418</v>
      </c>
      <c r="H113" s="50">
        <f t="shared" si="5"/>
        <v>-35</v>
      </c>
      <c r="I113" s="4">
        <f>VLOOKUP($A113,'[1]Init $$'!$B$3:$CG$118,8,FALSE)</f>
        <v>0.38356164383561642</v>
      </c>
      <c r="J113">
        <f>VLOOKUP($A113,'[1]Init $$'!$B$3:$CG$118,7,FALSE)</f>
        <v>196</v>
      </c>
      <c r="K113" s="43">
        <f>'Est gen ed 23 $$'!K113/'Est gen ed 23 pos'!K$123</f>
        <v>1</v>
      </c>
      <c r="L113" s="43">
        <f>'Est gen ed 23 $$'!L113/'Est gen ed 23 pos'!L$123</f>
        <v>0</v>
      </c>
      <c r="M113" s="43">
        <f>'Est gen ed 23 $$'!M113/'Est gen ed 23 pos'!M$123</f>
        <v>0</v>
      </c>
      <c r="N113" s="43">
        <f>'Est gen ed 23 $$'!N113/'Est gen ed 23 pos'!N$123</f>
        <v>1</v>
      </c>
      <c r="O113" s="34">
        <f>VLOOKUP($A113,'[1]Init $$'!$B$3:$CG$118,15,FALSE)</f>
        <v>6455.85</v>
      </c>
      <c r="P113" s="43">
        <f>'Est gen ed 23 $$'!P113/'Est gen ed 23 pos'!P$123</f>
        <v>1</v>
      </c>
      <c r="Q113" s="43">
        <f>'Est gen ed 23 $$'!Q113/'Est gen ed 23 pos'!Q$123</f>
        <v>1</v>
      </c>
      <c r="R113" s="43">
        <f>'Est gen ed 23 $$'!R113/'Est gen ed 23 pos'!R$123</f>
        <v>3.0000001953611113</v>
      </c>
      <c r="S113" s="43">
        <f>'Est gen ed 23 $$'!S113/'Est gen ed 23 pos'!S$123</f>
        <v>1</v>
      </c>
      <c r="T113" s="43">
        <f>'Est gen ed 23 $$'!T113/'Est gen ed 23 pos'!T$123</f>
        <v>3.9999998243031758</v>
      </c>
      <c r="U113" s="43">
        <f>'Est gen ed 23 $$'!U113/'Est gen ed 23 pos'!U$123</f>
        <v>0</v>
      </c>
      <c r="V113" s="43">
        <f>'Est gen ed 23 $$'!V113/'Est gen ed 23 pos'!V$123</f>
        <v>3.9999998243031758</v>
      </c>
      <c r="W113" s="43">
        <f>'Est gen ed 23 $$'!W113/'Est gen ed 23 pos'!W$123</f>
        <v>7.999999234037924</v>
      </c>
      <c r="X113" s="34">
        <f>VLOOKUP($A113,'[1]Init $$'!$B$3:$CG$118,24,FALSE)</f>
        <v>229363.20000000001</v>
      </c>
      <c r="Y113" s="34">
        <f>VLOOKUP($A113,'[1]Init $$'!$B$3:$CG$118,25,FALSE)</f>
        <v>0</v>
      </c>
      <c r="Z113" s="34">
        <f>VLOOKUP($A113,'[1]Init $$'!$B$3:$CG$118,26,FALSE)</f>
        <v>0</v>
      </c>
      <c r="AA113" s="34">
        <f>VLOOKUP($A113,'[1]Init $$'!$B$3:$CG$118,27,FALSE)</f>
        <v>0</v>
      </c>
      <c r="AB113" s="43">
        <f>'Est gen ed 23 $$'!AB113/'Est gen ed 23 pos'!AB$123</f>
        <v>0</v>
      </c>
      <c r="AC113" s="43">
        <f>'Est gen ed 23 $$'!AC113/'Est gen ed 23 pos'!AC$123</f>
        <v>0</v>
      </c>
      <c r="AD113" s="43">
        <f>'Est gen ed 23 $$'!AD113/'Est gen ed 23 pos'!AD$123</f>
        <v>0</v>
      </c>
      <c r="AE113" s="43">
        <f>'Est gen ed 23 $$'!AE113/'Est gen ed 23 pos'!AE$123</f>
        <v>0</v>
      </c>
      <c r="AF113" s="34">
        <f>VLOOKUP($A113,'[1]Init $$'!$B$3:$CG$118,32,FALSE)</f>
        <v>2287659</v>
      </c>
      <c r="AG113" s="34">
        <f>VLOOKUP($A113,'[1]Init $$'!$B$3:$CG$118,33,FALSE)</f>
        <v>166075</v>
      </c>
      <c r="AH113" s="43">
        <f>'Est gen ed 23 $$'!AH113/'Est gen ed 23 pos'!AH$123</f>
        <v>1</v>
      </c>
      <c r="AI113" s="43">
        <f>'Est gen ed 23 $$'!AI113/'Est gen ed 23 pos'!AI$123</f>
        <v>1.9999999121515879</v>
      </c>
      <c r="AJ113" s="43">
        <f>'Est gen ed 23 $$'!AJ113/'Est gen ed 23 pos'!AJ$123</f>
        <v>3.9999998243031758</v>
      </c>
      <c r="AK113" s="43">
        <f>'Est gen ed 23 $$'!AK113/'Est gen ed 23 pos'!AK$123</f>
        <v>2.9999999121515879</v>
      </c>
      <c r="AL113" s="43">
        <f>'Est gen ed 23 $$'!AL113/'Est gen ed 23 pos'!AL$123</f>
        <v>5.9999994893586166</v>
      </c>
      <c r="AM113" s="43">
        <f>'Est gen ed 23 $$'!AM113/'Est gen ed 23 pos'!AM$123</f>
        <v>0</v>
      </c>
      <c r="AN113" s="43">
        <f>'Est gen ed 23 $$'!AN113/'Est gen ed 23 pos'!AN$123</f>
        <v>0</v>
      </c>
      <c r="AO113" s="43">
        <f>'Est gen ed 23 $$'!AO113/'Est gen ed 23 pos'!AO$123</f>
        <v>0</v>
      </c>
      <c r="AP113" s="34">
        <f>VLOOKUP($A113,'[1]Init $$'!$B$3:$CG$118,42,FALSE)</f>
        <v>129016.8</v>
      </c>
      <c r="AQ113" s="34">
        <f>VLOOKUP($A113,'[1]Init $$'!$B$3:$CG$118,43,FALSE)</f>
        <v>0</v>
      </c>
      <c r="AR113" s="43">
        <f>'Est gen ed 23 $$'!AR113/'Est gen ed 23 pos'!AR$123</f>
        <v>1</v>
      </c>
      <c r="AS113" s="43">
        <f>'Est gen ed 23 $$'!AS113/'Est gen ed 23 pos'!AS$123</f>
        <v>0</v>
      </c>
      <c r="AT113" s="43">
        <f>'Est gen ed 23 $$'!AT113/'Est gen ed 23 pos'!AT$123</f>
        <v>0</v>
      </c>
      <c r="AU113" s="34">
        <f>VLOOKUP($A113,'[1]Init $$'!$B$3:$CG$118,47,FALSE)</f>
        <v>30462.3</v>
      </c>
      <c r="AV113" s="34">
        <f>VLOOKUP($A113,'[1]Init $$'!$B$3:$CG$118,48,FALSE)</f>
        <v>20400</v>
      </c>
      <c r="AW113" s="34">
        <f>VLOOKUP($A113,'[1]Init $$'!$B$3:$CG$118,49,FALSE)</f>
        <v>13600</v>
      </c>
      <c r="AX113" s="34">
        <f>VLOOKUP($A113,'[1]Init $$'!$B$3:$CG$118,50,FALSE)</f>
        <v>0</v>
      </c>
      <c r="AY113" s="34">
        <f>VLOOKUP($A113,'[1]Init $$'!$B$3:$CG$118,51,FALSE)</f>
        <v>0</v>
      </c>
      <c r="AZ113" s="34">
        <f>VLOOKUP($A113,'[1]Init $$'!$B$3:$CG$118,52,FALSE)</f>
        <v>20400</v>
      </c>
      <c r="BA113" s="34">
        <f>VLOOKUP($A113,'[1]Init $$'!$B$3:$CG$118,53,FALSE)</f>
        <v>10200</v>
      </c>
      <c r="BB113" s="34">
        <f>VLOOKUP($A113,'[1]Init $$'!$B$3:$CG$118,54,FALSE)</f>
        <v>13600</v>
      </c>
      <c r="BC113" s="34">
        <f>VLOOKUP($A113,'[1]Init $$'!$B$3:$CG$118,55,FALSE)</f>
        <v>150664.84</v>
      </c>
      <c r="BD113" s="34">
        <f>VLOOKUP($A113,'[1]Init $$'!$B$3:$CG$118,56,FALSE)</f>
        <v>2426.84</v>
      </c>
      <c r="BE113" s="34">
        <f>VLOOKUP($A113,'[1]Init $$'!$B$3:$CG$118,57,FALSE)</f>
        <v>0</v>
      </c>
      <c r="BF113" s="43">
        <f>'Est gen ed 23 $$'!BF113/'Est gen ed 23 pos'!BF$123</f>
        <v>0</v>
      </c>
      <c r="BG113" s="43">
        <f>'Est gen ed 23 $$'!BG113/'Est gen ed 23 pos'!BG$123</f>
        <v>0</v>
      </c>
      <c r="BH113" s="34">
        <f>VLOOKUP($A113,'[1]Init $$'!$B$3:$CG$118,60,FALSE)</f>
        <v>0</v>
      </c>
      <c r="BI113" s="34">
        <f>VLOOKUP($A113,'[1]Init $$'!$B$3:$CG$118,61,FALSE)</f>
        <v>0</v>
      </c>
      <c r="BJ113" s="34">
        <f>VLOOKUP($A113,'[1]Init $$'!$B$3:$CG$118,62,FALSE)</f>
        <v>0</v>
      </c>
      <c r="BK113" s="43">
        <f>'Est gen ed 23 $$'!BK113/'Est gen ed 23 pos'!BK$123</f>
        <v>0</v>
      </c>
      <c r="BL113" s="34">
        <f>VLOOKUP($A113,'[1]Init $$'!$B$3:$CG$118,64,FALSE)</f>
        <v>0</v>
      </c>
      <c r="BM113" s="43">
        <f>'Est gen ed 23 $$'!BM113/'Est gen ed 23 pos'!BM$123</f>
        <v>0</v>
      </c>
      <c r="BN113" s="34">
        <f>VLOOKUP($A113,'[1]Init $$'!$B$3:$CG$118,66,FALSE)</f>
        <v>0</v>
      </c>
      <c r="BO113" s="43">
        <f>'Est gen ed 23 $$'!BO113/'Est gen ed 23 pos'!BO$123</f>
        <v>0</v>
      </c>
      <c r="BP113" s="34">
        <f>VLOOKUP($A113,'[1]Init $$'!$B$3:$CG$118,68,FALSE)</f>
        <v>119500</v>
      </c>
      <c r="BQ113" s="43">
        <f>'Est gen ed 23 $$'!BQ113/'Est gen ed 23 pos'!BQ$123</f>
        <v>0</v>
      </c>
      <c r="BR113" s="43">
        <f>'Est gen ed 23 $$'!BR113/'Est gen ed 23 pos'!BR$123</f>
        <v>0</v>
      </c>
      <c r="BS113" s="34">
        <f>VLOOKUP($A113,'[1]Init $$'!$B$3:$CG$118,71,FALSE)</f>
        <v>0</v>
      </c>
      <c r="BT113" s="34">
        <f>VLOOKUP($A113,'[1]Init $$'!$B$3:$CG$118,72,FALSE)</f>
        <v>0</v>
      </c>
      <c r="BU113" s="34">
        <f>VLOOKUP($A113,'[1]Init $$'!$B$3:$CG$118,73,FALSE)</f>
        <v>15325</v>
      </c>
      <c r="BV113" s="34">
        <f>VLOOKUP($A113,'[1]Init $$'!$B$3:$CG$118,74,FALSE)</f>
        <v>0</v>
      </c>
      <c r="BW113" s="34">
        <f>VLOOKUP($A113,'[1]Init $$'!$B$3:$CG$118,75,FALSE)</f>
        <v>0</v>
      </c>
      <c r="BX113" s="43">
        <f>'Est gen ed 23 $$'!BX113/'Est gen ed 23 pos'!BX$123</f>
        <v>0</v>
      </c>
      <c r="BY113" s="43">
        <f>'Est gen ed 23 $$'!BY113/'Est gen ed 23 pos'!BY$123</f>
        <v>0</v>
      </c>
      <c r="BZ113" s="43">
        <f>'Est gen ed 23 $$'!BZ113/'Est gen ed 23 pos'!BZ$123</f>
        <v>0</v>
      </c>
      <c r="CA113" s="34">
        <f>VLOOKUP($A113,'[1]Init $$'!$B$3:$CG$118,79,FALSE)</f>
        <v>525770.78</v>
      </c>
      <c r="CB113" s="34">
        <f>VLOOKUP($A113,'[1]Init $$'!$B$3:$CG$118,80,FALSE)</f>
        <v>0</v>
      </c>
      <c r="CC113" s="34">
        <f>VLOOKUP($A113,'[1]Init $$'!$B$3:$CG$118,81,FALSE)</f>
        <v>390346.52</v>
      </c>
      <c r="CD113" s="34">
        <f>VLOOKUP($A113,'[1]Init $$'!$B$3:$CG$118,82,FALSE)</f>
        <v>321033.63</v>
      </c>
      <c r="CE113" s="34">
        <f>VLOOKUP($A113,'[1]Init $$'!$B$3:$CG$118,83,FALSE)</f>
        <v>210749.93</v>
      </c>
      <c r="CF113" s="34">
        <f>VLOOKUP($A113,'[1]Init $$'!$B$3:$CG$118,84,FALSE)</f>
        <v>76387.09</v>
      </c>
      <c r="CJ113" s="28">
        <f t="shared" si="6"/>
        <v>4739477.7799982149</v>
      </c>
      <c r="CK113" s="43">
        <f>'Est gen ed 23 $$'!CK113/'Est gen ed 23 pos'!CK$123</f>
        <v>0.99999604682144683</v>
      </c>
      <c r="CL113" s="43">
        <f>'Est gen ed 23 $$'!CL113/'Est gen ed 23 pos'!CL$123</f>
        <v>1.2775000000000001</v>
      </c>
      <c r="CM113" s="43">
        <f>'Est gen ed 23 $$'!CM113/'Est gen ed 23 pos'!CM$123</f>
        <v>1</v>
      </c>
      <c r="CN113" s="43">
        <f>'Est gen ed 23 $$'!CN113/'Est gen ed 23 pos'!CN$123</f>
        <v>0.78277886497064564</v>
      </c>
      <c r="CO113" s="43">
        <f>'Est gen ed 23 $$'!CO113/'Est gen ed 23 pos'!CO$123</f>
        <v>0</v>
      </c>
      <c r="CP113" s="43">
        <f>'Est gen ed 23 $$'!CP113/'Est gen ed 23 pos'!CP$123</f>
        <v>0</v>
      </c>
      <c r="CQ113" s="43">
        <f>'Est gen ed 23 $$'!CQ113/'Est gen ed 23 pos'!CQ$123</f>
        <v>1.4999940702321701</v>
      </c>
      <c r="CR113" s="43">
        <f>'Est gen ed 23 $$'!CR113/'Est gen ed 23 pos'!CR$123</f>
        <v>1.4999940702321701</v>
      </c>
      <c r="CS113" s="43">
        <f>'Est gen ed 23 $$'!CS113/'Est gen ed 23 pos'!CS$123</f>
        <v>2.499990117053617</v>
      </c>
      <c r="CT113" s="43">
        <f>'Est gen ed 23 $$'!CT113/'Est gen ed 23 pos'!CT$123</f>
        <v>4</v>
      </c>
      <c r="CU113" s="43">
        <f>'Est gen ed 23 $$'!CU113/'Est gen ed 23 pos'!CU$123</f>
        <v>20</v>
      </c>
      <c r="CZ113" s="43">
        <f>'Est gen ed 23 $$'!CW113/'Est gen ed 23 pos'!CZ$123</f>
        <v>0</v>
      </c>
      <c r="DB113" s="28">
        <f t="shared" si="7"/>
        <v>2287659</v>
      </c>
      <c r="DC113" s="28">
        <f t="shared" si="4"/>
        <v>998517.17</v>
      </c>
      <c r="DK113" s="34"/>
      <c r="DL113" s="34"/>
    </row>
    <row r="114" spans="1:137" x14ac:dyDescent="0.2">
      <c r="A114">
        <v>331</v>
      </c>
      <c r="B114" t="s">
        <v>11</v>
      </c>
      <c r="C114" t="s">
        <v>7</v>
      </c>
      <c r="D114">
        <v>6</v>
      </c>
      <c r="E114">
        <f>VLOOKUP($A114,'[1]Init $$'!$B$3:$CG$118,4,FALSE)</f>
        <v>371</v>
      </c>
      <c r="F114">
        <f>VLOOKUP($A114,'[1]Init $$'!$B$3:$CG$118,6,FALSE)</f>
        <v>304</v>
      </c>
      <c r="G114">
        <f>VLOOKUP($A114,'[2]$$xSchpostCouncilxLevel'!$A$4:$EW$120,153,FALSE)</f>
        <v>299</v>
      </c>
      <c r="H114" s="50">
        <f t="shared" si="5"/>
        <v>5</v>
      </c>
      <c r="I114" s="4">
        <f>VLOOKUP($A114,'[1]Init $$'!$B$3:$CG$118,8,FALSE)</f>
        <v>0.33153638814016173</v>
      </c>
      <c r="J114">
        <f>VLOOKUP($A114,'[1]Init $$'!$B$3:$CG$118,7,FALSE)</f>
        <v>123</v>
      </c>
      <c r="K114" s="43">
        <f>'Est gen ed 23 $$'!K114/'Est gen ed 23 pos'!K$123</f>
        <v>1</v>
      </c>
      <c r="L114" s="43">
        <f>'Est gen ed 23 $$'!L114/'Est gen ed 23 pos'!L$123</f>
        <v>0</v>
      </c>
      <c r="M114" s="43">
        <f>'Est gen ed 23 $$'!M114/'Est gen ed 23 pos'!M$123</f>
        <v>0</v>
      </c>
      <c r="N114" s="43">
        <f>'Est gen ed 23 $$'!N114/'Est gen ed 23 pos'!N$123</f>
        <v>1</v>
      </c>
      <c r="O114" s="34">
        <f>VLOOKUP($A114,'[1]Init $$'!$B$3:$CG$118,15,FALSE)</f>
        <v>5376.65</v>
      </c>
      <c r="P114" s="43">
        <f>'Est gen ed 23 $$'!P114/'Est gen ed 23 pos'!P$123</f>
        <v>1</v>
      </c>
      <c r="Q114" s="43">
        <f>'Est gen ed 23 $$'!Q114/'Est gen ed 23 pos'!Q$123</f>
        <v>1</v>
      </c>
      <c r="R114" s="43">
        <f>'Est gen ed 23 $$'!R114/'Est gen ed 23 pos'!R$123</f>
        <v>2.0000001953611113</v>
      </c>
      <c r="S114" s="43">
        <f>'Est gen ed 23 $$'!S114/'Est gen ed 23 pos'!S$123</f>
        <v>1</v>
      </c>
      <c r="T114" s="43">
        <f>'Est gen ed 23 $$'!T114/'Est gen ed 23 pos'!T$123</f>
        <v>1.9999999121515879</v>
      </c>
      <c r="U114" s="43">
        <f>'Est gen ed 23 $$'!U114/'Est gen ed 23 pos'!U$123</f>
        <v>0</v>
      </c>
      <c r="V114" s="43">
        <f>'Est gen ed 23 $$'!V114/'Est gen ed 23 pos'!V$123</f>
        <v>1.9999999121515879</v>
      </c>
      <c r="W114" s="43">
        <f>'Est gen ed 23 $$'!W114/'Est gen ed 23 pos'!W$123</f>
        <v>3.9999997446793079</v>
      </c>
      <c r="X114" s="34">
        <f>VLOOKUP($A114,'[1]Init $$'!$B$3:$CG$118,24,FALSE)</f>
        <v>120057.3</v>
      </c>
      <c r="Y114" s="34">
        <f>VLOOKUP($A114,'[1]Init $$'!$B$3:$CG$118,25,FALSE)</f>
        <v>0</v>
      </c>
      <c r="Z114" s="34">
        <f>VLOOKUP($A114,'[1]Init $$'!$B$3:$CG$118,26,FALSE)</f>
        <v>0</v>
      </c>
      <c r="AA114" s="34">
        <f>VLOOKUP($A114,'[1]Init $$'!$B$3:$CG$118,27,FALSE)</f>
        <v>0</v>
      </c>
      <c r="AB114" s="43">
        <f>'Est gen ed 23 $$'!AB114/'Est gen ed 23 pos'!AB$123</f>
        <v>0</v>
      </c>
      <c r="AC114" s="43">
        <f>'Est gen ed 23 $$'!AC114/'Est gen ed 23 pos'!AC$123</f>
        <v>0</v>
      </c>
      <c r="AD114" s="43">
        <f>'Est gen ed 23 $$'!AD114/'Est gen ed 23 pos'!AD$123</f>
        <v>0</v>
      </c>
      <c r="AE114" s="43">
        <f>'Est gen ed 23 $$'!AE114/'Est gen ed 23 pos'!AE$123</f>
        <v>0</v>
      </c>
      <c r="AF114" s="34">
        <f>VLOOKUP($A114,'[1]Init $$'!$B$3:$CG$118,32,FALSE)</f>
        <v>1815792</v>
      </c>
      <c r="AG114" s="34">
        <f>VLOOKUP($A114,'[1]Init $$'!$B$3:$CG$118,33,FALSE)</f>
        <v>120575</v>
      </c>
      <c r="AH114" s="43">
        <f>'Est gen ed 23 $$'!AH114/'Est gen ed 23 pos'!AH$123</f>
        <v>1</v>
      </c>
      <c r="AI114" s="43">
        <f>'Est gen ed 23 $$'!AI114/'Est gen ed 23 pos'!AI$123</f>
        <v>1</v>
      </c>
      <c r="AJ114" s="43">
        <f>'Est gen ed 23 $$'!AJ114/'Est gen ed 23 pos'!AJ$123</f>
        <v>2.9999999121515879</v>
      </c>
      <c r="AK114" s="43">
        <f>'Est gen ed 23 $$'!AK114/'Est gen ed 23 pos'!AK$123</f>
        <v>0</v>
      </c>
      <c r="AL114" s="43">
        <f>'Est gen ed 23 $$'!AL114/'Est gen ed 23 pos'!AL$123</f>
        <v>0</v>
      </c>
      <c r="AM114" s="43">
        <f>'Est gen ed 23 $$'!AM114/'Est gen ed 23 pos'!AM$123</f>
        <v>0</v>
      </c>
      <c r="AN114" s="43">
        <f>'Est gen ed 23 $$'!AN114/'Est gen ed 23 pos'!AN$123</f>
        <v>0</v>
      </c>
      <c r="AO114" s="43">
        <f>'Est gen ed 23 $$'!AO114/'Est gen ed 23 pos'!AO$123</f>
        <v>0</v>
      </c>
      <c r="AP114" s="34">
        <f>VLOOKUP($A114,'[1]Init $$'!$B$3:$CG$118,42,FALSE)</f>
        <v>82427.399999999994</v>
      </c>
      <c r="AQ114" s="34">
        <f>VLOOKUP($A114,'[1]Init $$'!$B$3:$CG$118,43,FALSE)</f>
        <v>0</v>
      </c>
      <c r="AR114" s="43">
        <f>'Est gen ed 23 $$'!AR114/'Est gen ed 23 pos'!AR$123</f>
        <v>0</v>
      </c>
      <c r="AS114" s="43">
        <f>'Est gen ed 23 $$'!AS114/'Est gen ed 23 pos'!AS$123</f>
        <v>0.17999999121515878</v>
      </c>
      <c r="AT114" s="43">
        <f>'Est gen ed 23 $$'!AT114/'Est gen ed 23 pos'!AT$123</f>
        <v>0</v>
      </c>
      <c r="AU114" s="34">
        <f>VLOOKUP($A114,'[1]Init $$'!$B$3:$CG$118,47,FALSE)</f>
        <v>7167.6</v>
      </c>
      <c r="AV114" s="34">
        <f>VLOOKUP($A114,'[1]Init $$'!$B$3:$CG$118,48,FALSE)</f>
        <v>0</v>
      </c>
      <c r="AW114" s="34">
        <f>VLOOKUP($A114,'[1]Init $$'!$B$3:$CG$118,49,FALSE)</f>
        <v>0</v>
      </c>
      <c r="AX114" s="34">
        <f>VLOOKUP($A114,'[1]Init $$'!$B$3:$CG$118,50,FALSE)</f>
        <v>0</v>
      </c>
      <c r="AY114" s="34">
        <f>VLOOKUP($A114,'[1]Init $$'!$B$3:$CG$118,51,FALSE)</f>
        <v>0</v>
      </c>
      <c r="AZ114" s="34">
        <f>VLOOKUP($A114,'[1]Init $$'!$B$3:$CG$118,52,FALSE)</f>
        <v>0</v>
      </c>
      <c r="BA114" s="34">
        <f>VLOOKUP($A114,'[1]Init $$'!$B$3:$CG$118,53,FALSE)</f>
        <v>0</v>
      </c>
      <c r="BB114" s="34">
        <f>VLOOKUP($A114,'[1]Init $$'!$B$3:$CG$118,54,FALSE)</f>
        <v>0</v>
      </c>
      <c r="BC114" s="34">
        <f>VLOOKUP($A114,'[1]Init $$'!$B$3:$CG$118,55,FALSE)</f>
        <v>109968.02</v>
      </c>
      <c r="BD114" s="34">
        <f>VLOOKUP($A114,'[1]Init $$'!$B$3:$CG$118,56,FALSE)</f>
        <v>1771.31</v>
      </c>
      <c r="BE114" s="34">
        <f>VLOOKUP($A114,'[1]Init $$'!$B$3:$CG$118,57,FALSE)</f>
        <v>0</v>
      </c>
      <c r="BF114" s="43">
        <f>'Est gen ed 23 $$'!BF114/'Est gen ed 23 pos'!BF$123</f>
        <v>0</v>
      </c>
      <c r="BG114" s="43">
        <f>'Est gen ed 23 $$'!BG114/'Est gen ed 23 pos'!BG$123</f>
        <v>0</v>
      </c>
      <c r="BH114" s="34">
        <f>VLOOKUP($A114,'[1]Init $$'!$B$3:$CG$118,60,FALSE)</f>
        <v>0</v>
      </c>
      <c r="BI114" s="34">
        <f>VLOOKUP($A114,'[1]Init $$'!$B$3:$CG$118,61,FALSE)</f>
        <v>0</v>
      </c>
      <c r="BJ114" s="34">
        <f>VLOOKUP($A114,'[1]Init $$'!$B$3:$CG$118,62,FALSE)</f>
        <v>0</v>
      </c>
      <c r="BK114" s="43">
        <f>'Est gen ed 23 $$'!BK114/'Est gen ed 23 pos'!BK$123</f>
        <v>0</v>
      </c>
      <c r="BL114" s="34">
        <f>VLOOKUP($A114,'[1]Init $$'!$B$3:$CG$118,64,FALSE)</f>
        <v>0</v>
      </c>
      <c r="BM114" s="43">
        <f>'Est gen ed 23 $$'!BM114/'Est gen ed 23 pos'!BM$123</f>
        <v>0</v>
      </c>
      <c r="BN114" s="34">
        <f>VLOOKUP($A114,'[1]Init $$'!$B$3:$CG$118,66,FALSE)</f>
        <v>0</v>
      </c>
      <c r="BO114" s="43">
        <f>'Est gen ed 23 $$'!BO114/'Est gen ed 23 pos'!BO$123</f>
        <v>0</v>
      </c>
      <c r="BP114" s="34">
        <f>VLOOKUP($A114,'[1]Init $$'!$B$3:$CG$118,68,FALSE)</f>
        <v>0</v>
      </c>
      <c r="BQ114" s="43">
        <f>'Est gen ed 23 $$'!BQ114/'Est gen ed 23 pos'!BQ$123</f>
        <v>0</v>
      </c>
      <c r="BR114" s="43">
        <f>'Est gen ed 23 $$'!BR114/'Est gen ed 23 pos'!BR$123</f>
        <v>0</v>
      </c>
      <c r="BS114" s="34">
        <f>VLOOKUP($A114,'[1]Init $$'!$B$3:$CG$118,71,FALSE)</f>
        <v>0</v>
      </c>
      <c r="BT114" s="34">
        <f>VLOOKUP($A114,'[1]Init $$'!$B$3:$CG$118,72,FALSE)</f>
        <v>0</v>
      </c>
      <c r="BU114" s="34">
        <f>VLOOKUP($A114,'[1]Init $$'!$B$3:$CG$118,73,FALSE)</f>
        <v>15325</v>
      </c>
      <c r="BV114" s="34">
        <f>VLOOKUP($A114,'[1]Init $$'!$B$3:$CG$118,74,FALSE)</f>
        <v>0</v>
      </c>
      <c r="BW114" s="34">
        <f>VLOOKUP($A114,'[1]Init $$'!$B$3:$CG$118,75,FALSE)</f>
        <v>0</v>
      </c>
      <c r="BX114" s="43">
        <f>'Est gen ed 23 $$'!BX114/'Est gen ed 23 pos'!BX$123</f>
        <v>0</v>
      </c>
      <c r="BY114" s="43">
        <f>'Est gen ed 23 $$'!BY114/'Est gen ed 23 pos'!BY$123</f>
        <v>0</v>
      </c>
      <c r="BZ114" s="43">
        <f>'Est gen ed 23 $$'!BZ114/'Est gen ed 23 pos'!BZ$123</f>
        <v>0</v>
      </c>
      <c r="CA114" s="34">
        <f>VLOOKUP($A114,'[1]Init $$'!$B$3:$CG$118,79,FALSE)</f>
        <v>329947.99</v>
      </c>
      <c r="CB114" s="34">
        <f>VLOOKUP($A114,'[1]Init $$'!$B$3:$CG$118,80,FALSE)</f>
        <v>0</v>
      </c>
      <c r="CC114" s="34">
        <f>VLOOKUP($A114,'[1]Init $$'!$B$3:$CG$118,81,FALSE)</f>
        <v>238871.27</v>
      </c>
      <c r="CD114" s="34">
        <f>VLOOKUP($A114,'[1]Init $$'!$B$3:$CG$118,82,FALSE)</f>
        <v>182422.87</v>
      </c>
      <c r="CE114" s="34">
        <f>VLOOKUP($A114,'[1]Init $$'!$B$3:$CG$118,83,FALSE)</f>
        <v>77168.649999999994</v>
      </c>
      <c r="CF114" s="34">
        <f>VLOOKUP($A114,'[1]Init $$'!$B$3:$CG$118,84,FALSE)</f>
        <v>25136.11</v>
      </c>
      <c r="CJ114" s="28">
        <f t="shared" si="6"/>
        <v>3132027.3499996676</v>
      </c>
      <c r="CK114" s="43">
        <f>'Est gen ed 23 $$'!CK114/'Est gen ed 23 pos'!CK$123</f>
        <v>0.99999604682144683</v>
      </c>
      <c r="CL114" s="43">
        <f>'Est gen ed 23 $$'!CL114/'Est gen ed 23 pos'!CL$123</f>
        <v>0.92749999999999999</v>
      </c>
      <c r="CM114" s="43">
        <f>'Est gen ed 23 $$'!CM114/'Est gen ed 23 pos'!CM$123</f>
        <v>1</v>
      </c>
      <c r="CN114" s="43">
        <f>'Est gen ed 23 $$'!CN114/'Est gen ed 23 pos'!CN$123</f>
        <v>0</v>
      </c>
      <c r="CO114" s="43">
        <f>'Est gen ed 23 $$'!CO114/'Est gen ed 23 pos'!CO$123</f>
        <v>0</v>
      </c>
      <c r="CP114" s="43">
        <f>'Est gen ed 23 $$'!CP114/'Est gen ed 23 pos'!CP$123</f>
        <v>0</v>
      </c>
      <c r="CQ114" s="43">
        <f>'Est gen ed 23 $$'!CQ114/'Est gen ed 23 pos'!CQ$123</f>
        <v>0.99999604682144683</v>
      </c>
      <c r="CR114" s="43">
        <f>'Est gen ed 23 $$'!CR114/'Est gen ed 23 pos'!CR$123</f>
        <v>0.99999604682144683</v>
      </c>
      <c r="CS114" s="43">
        <f>'Est gen ed 23 $$'!CS114/'Est gen ed 23 pos'!CS$123</f>
        <v>1.4999940702321701</v>
      </c>
      <c r="CT114" s="43">
        <f>'Est gen ed 23 $$'!CT114/'Est gen ed 23 pos'!CT$123</f>
        <v>3</v>
      </c>
      <c r="CU114" s="43">
        <f>'Est gen ed 23 $$'!CU114/'Est gen ed 23 pos'!CU$123</f>
        <v>16</v>
      </c>
      <c r="CZ114" s="43">
        <f>'Est gen ed 23 $$'!CW114/'Est gen ed 23 pos'!CZ$123</f>
        <v>0</v>
      </c>
      <c r="DB114" s="28">
        <f t="shared" si="7"/>
        <v>1815792</v>
      </c>
      <c r="DC114" s="28">
        <f t="shared" si="4"/>
        <v>523598.9</v>
      </c>
      <c r="DK114" s="34"/>
      <c r="DL114" s="34"/>
    </row>
    <row r="115" spans="1:137" x14ac:dyDescent="0.2">
      <c r="A115">
        <v>332</v>
      </c>
      <c r="B115" t="s">
        <v>10</v>
      </c>
      <c r="C115" t="s">
        <v>4</v>
      </c>
      <c r="D115">
        <v>6</v>
      </c>
      <c r="E115">
        <f>VLOOKUP($A115,'[1]Init $$'!$B$3:$CG$118,4,FALSE)</f>
        <v>384</v>
      </c>
      <c r="F115">
        <f>VLOOKUP($A115,'[1]Init $$'!$B$3:$CG$118,6,FALSE)</f>
        <v>322</v>
      </c>
      <c r="G115">
        <f>VLOOKUP($A115,'[2]$$xSchpostCouncilxLevel'!$A$4:$EW$120,153,FALSE)</f>
        <v>338</v>
      </c>
      <c r="H115" s="50">
        <f t="shared" si="5"/>
        <v>-16</v>
      </c>
      <c r="I115" s="4">
        <f>VLOOKUP($A115,'[1]Init $$'!$B$3:$CG$118,8,FALSE)</f>
        <v>0.77604166666666663</v>
      </c>
      <c r="J115">
        <f>VLOOKUP($A115,'[1]Init $$'!$B$3:$CG$118,7,FALSE)</f>
        <v>298</v>
      </c>
      <c r="K115" s="43">
        <f>'Est gen ed 23 $$'!K115/'Est gen ed 23 pos'!K$123</f>
        <v>1</v>
      </c>
      <c r="L115" s="43">
        <f>'Est gen ed 23 $$'!L115/'Est gen ed 23 pos'!L$123</f>
        <v>0.49999995607579389</v>
      </c>
      <c r="M115" s="43">
        <f>'Est gen ed 23 $$'!M115/'Est gen ed 23 pos'!M$123</f>
        <v>0</v>
      </c>
      <c r="N115" s="43">
        <f>'Est gen ed 23 $$'!N115/'Est gen ed 23 pos'!N$123</f>
        <v>1</v>
      </c>
      <c r="O115" s="34">
        <f>VLOOKUP($A115,'[1]Init $$'!$B$3:$CG$118,15,FALSE)</f>
        <v>7283.7</v>
      </c>
      <c r="P115" s="43">
        <f>'Est gen ed 23 $$'!P115/'Est gen ed 23 pos'!P$123</f>
        <v>1</v>
      </c>
      <c r="Q115" s="43">
        <f>'Est gen ed 23 $$'!Q115/'Est gen ed 23 pos'!Q$123</f>
        <v>1</v>
      </c>
      <c r="R115" s="43">
        <f>'Est gen ed 23 $$'!R115/'Est gen ed 23 pos'!R$123</f>
        <v>2.0000001953611113</v>
      </c>
      <c r="S115" s="43">
        <f>'Est gen ed 23 $$'!S115/'Est gen ed 23 pos'!S$123</f>
        <v>1</v>
      </c>
      <c r="T115" s="43">
        <f>'Est gen ed 23 $$'!T115/'Est gen ed 23 pos'!T$123</f>
        <v>1.9999999121515879</v>
      </c>
      <c r="U115" s="43">
        <f>'Est gen ed 23 $$'!U115/'Est gen ed 23 pos'!U$123</f>
        <v>0</v>
      </c>
      <c r="V115" s="43">
        <f>'Est gen ed 23 $$'!V115/'Est gen ed 23 pos'!V$123</f>
        <v>1.9999999121515879</v>
      </c>
      <c r="W115" s="43">
        <f>'Est gen ed 23 $$'!W115/'Est gen ed 23 pos'!W$123</f>
        <v>3.9999997446793079</v>
      </c>
      <c r="X115" s="34">
        <f>VLOOKUP($A115,'[1]Init $$'!$B$3:$CG$118,24,FALSE)</f>
        <v>111097.8</v>
      </c>
      <c r="Y115" s="34">
        <f>VLOOKUP($A115,'[1]Init $$'!$B$3:$CG$118,25,FALSE)</f>
        <v>0</v>
      </c>
      <c r="Z115" s="34">
        <f>VLOOKUP($A115,'[1]Init $$'!$B$3:$CG$118,26,FALSE)</f>
        <v>0</v>
      </c>
      <c r="AA115" s="34">
        <f>VLOOKUP($A115,'[1]Init $$'!$B$3:$CG$118,27,FALSE)</f>
        <v>480826.5</v>
      </c>
      <c r="AB115" s="43">
        <f>'Est gen ed 23 $$'!AB115/'Est gen ed 23 pos'!AB$123</f>
        <v>0</v>
      </c>
      <c r="AC115" s="43">
        <f>'Est gen ed 23 $$'!AC115/'Est gen ed 23 pos'!AC$123</f>
        <v>0</v>
      </c>
      <c r="AD115" s="43">
        <f>'Est gen ed 23 $$'!AD115/'Est gen ed 23 pos'!AD$123</f>
        <v>0</v>
      </c>
      <c r="AE115" s="43">
        <f>'Est gen ed 23 $$'!AE115/'Est gen ed 23 pos'!AE$123</f>
        <v>0</v>
      </c>
      <c r="AF115" s="34">
        <f>VLOOKUP($A115,'[1]Init $$'!$B$3:$CG$118,32,FALSE)</f>
        <v>1923306</v>
      </c>
      <c r="AG115" s="34">
        <f>VLOOKUP($A115,'[1]Init $$'!$B$3:$CG$118,33,FALSE)</f>
        <v>126720</v>
      </c>
      <c r="AH115" s="43">
        <f>'Est gen ed 23 $$'!AH115/'Est gen ed 23 pos'!AH$123</f>
        <v>1</v>
      </c>
      <c r="AI115" s="43">
        <f>'Est gen ed 23 $$'!AI115/'Est gen ed 23 pos'!AI$123</f>
        <v>1.9999999121515879</v>
      </c>
      <c r="AJ115" s="43">
        <f>'Est gen ed 23 $$'!AJ115/'Est gen ed 23 pos'!AJ$123</f>
        <v>4.9999998243031758</v>
      </c>
      <c r="AK115" s="43">
        <f>'Est gen ed 23 $$'!AK115/'Est gen ed 23 pos'!AK$123</f>
        <v>3.9999998243031758</v>
      </c>
      <c r="AL115" s="43">
        <f>'Est gen ed 23 $$'!AL115/'Est gen ed 23 pos'!AL$123</f>
        <v>7.999999234037924</v>
      </c>
      <c r="AM115" s="43">
        <f>'Est gen ed 23 $$'!AM115/'Est gen ed 23 pos'!AM$123</f>
        <v>0</v>
      </c>
      <c r="AN115" s="43">
        <f>'Est gen ed 23 $$'!AN115/'Est gen ed 23 pos'!AN$123</f>
        <v>0</v>
      </c>
      <c r="AO115" s="43">
        <f>'Est gen ed 23 $$'!AO115/'Est gen ed 23 pos'!AO$123</f>
        <v>1</v>
      </c>
      <c r="AP115" s="34">
        <f>VLOOKUP($A115,'[1]Init $$'!$B$3:$CG$118,42,FALSE)</f>
        <v>120057.3</v>
      </c>
      <c r="AQ115" s="34">
        <f>VLOOKUP($A115,'[1]Init $$'!$B$3:$CG$118,43,FALSE)</f>
        <v>0</v>
      </c>
      <c r="AR115" s="43">
        <f>'Est gen ed 23 $$'!AR115/'Est gen ed 23 pos'!AR$123</f>
        <v>1</v>
      </c>
      <c r="AS115" s="43">
        <f>'Est gen ed 23 $$'!AS115/'Est gen ed 23 pos'!AS$123</f>
        <v>0</v>
      </c>
      <c r="AT115" s="43">
        <f>'Est gen ed 23 $$'!AT115/'Est gen ed 23 pos'!AT$123</f>
        <v>0</v>
      </c>
      <c r="AU115" s="34">
        <f>VLOOKUP($A115,'[1]Init $$'!$B$3:$CG$118,47,FALSE)</f>
        <v>30462.3</v>
      </c>
      <c r="AV115" s="34">
        <f>VLOOKUP($A115,'[1]Init $$'!$B$3:$CG$118,48,FALSE)</f>
        <v>20400</v>
      </c>
      <c r="AW115" s="34">
        <f>VLOOKUP($A115,'[1]Init $$'!$B$3:$CG$118,49,FALSE)</f>
        <v>13600</v>
      </c>
      <c r="AX115" s="34">
        <f>VLOOKUP($A115,'[1]Init $$'!$B$3:$CG$118,50,FALSE)</f>
        <v>0</v>
      </c>
      <c r="AY115" s="34">
        <f>VLOOKUP($A115,'[1]Init $$'!$B$3:$CG$118,51,FALSE)</f>
        <v>0</v>
      </c>
      <c r="AZ115" s="34">
        <f>VLOOKUP($A115,'[1]Init $$'!$B$3:$CG$118,52,FALSE)</f>
        <v>20400</v>
      </c>
      <c r="BA115" s="34">
        <f>VLOOKUP($A115,'[1]Init $$'!$B$3:$CG$118,53,FALSE)</f>
        <v>10200</v>
      </c>
      <c r="BB115" s="34">
        <f>VLOOKUP($A115,'[1]Init $$'!$B$3:$CG$118,54,FALSE)</f>
        <v>13600</v>
      </c>
      <c r="BC115" s="34">
        <f>VLOOKUP($A115,'[1]Init $$'!$B$3:$CG$118,55,FALSE)</f>
        <v>207813.57</v>
      </c>
      <c r="BD115" s="34">
        <f>VLOOKUP($A115,'[1]Init $$'!$B$3:$CG$118,56,FALSE)</f>
        <v>3347.36</v>
      </c>
      <c r="BE115" s="34">
        <f>VLOOKUP($A115,'[1]Init $$'!$B$3:$CG$118,57,FALSE)</f>
        <v>0</v>
      </c>
      <c r="BF115" s="43">
        <f>'Est gen ed 23 $$'!BF115/'Est gen ed 23 pos'!BF$123</f>
        <v>0</v>
      </c>
      <c r="BG115" s="43">
        <f>'Est gen ed 23 $$'!BG115/'Est gen ed 23 pos'!BG$123</f>
        <v>0</v>
      </c>
      <c r="BH115" s="34">
        <f>VLOOKUP($A115,'[1]Init $$'!$B$3:$CG$118,60,FALSE)</f>
        <v>0</v>
      </c>
      <c r="BI115" s="34">
        <f>VLOOKUP($A115,'[1]Init $$'!$B$3:$CG$118,61,FALSE)</f>
        <v>0</v>
      </c>
      <c r="BJ115" s="34">
        <f>VLOOKUP($A115,'[1]Init $$'!$B$3:$CG$118,62,FALSE)</f>
        <v>0</v>
      </c>
      <c r="BK115" s="43">
        <f>'Est gen ed 23 $$'!BK115/'Est gen ed 23 pos'!BK$123</f>
        <v>0</v>
      </c>
      <c r="BL115" s="34">
        <f>VLOOKUP($A115,'[1]Init $$'!$B$3:$CG$118,64,FALSE)</f>
        <v>0</v>
      </c>
      <c r="BM115" s="43">
        <f>'Est gen ed 23 $$'!BM115/'Est gen ed 23 pos'!BM$123</f>
        <v>0</v>
      </c>
      <c r="BN115" s="34">
        <f>VLOOKUP($A115,'[1]Init $$'!$B$3:$CG$118,66,FALSE)</f>
        <v>0</v>
      </c>
      <c r="BO115" s="43">
        <f>'Est gen ed 23 $$'!BO115/'Est gen ed 23 pos'!BO$123</f>
        <v>0</v>
      </c>
      <c r="BP115" s="34">
        <f>VLOOKUP($A115,'[1]Init $$'!$B$3:$CG$118,68,FALSE)</f>
        <v>0</v>
      </c>
      <c r="BQ115" s="43">
        <f>'Est gen ed 23 $$'!BQ115/'Est gen ed 23 pos'!BQ$123</f>
        <v>0</v>
      </c>
      <c r="BR115" s="43">
        <f>'Est gen ed 23 $$'!BR115/'Est gen ed 23 pos'!BR$123</f>
        <v>0</v>
      </c>
      <c r="BS115" s="34">
        <f>VLOOKUP($A115,'[1]Init $$'!$B$3:$CG$118,71,FALSE)</f>
        <v>0</v>
      </c>
      <c r="BT115" s="34">
        <f>VLOOKUP($A115,'[1]Init $$'!$B$3:$CG$118,72,FALSE)</f>
        <v>0</v>
      </c>
      <c r="BU115" s="34">
        <f>VLOOKUP($A115,'[1]Init $$'!$B$3:$CG$118,73,FALSE)</f>
        <v>15325</v>
      </c>
      <c r="BV115" s="34">
        <f>VLOOKUP($A115,'[1]Init $$'!$B$3:$CG$118,74,FALSE)</f>
        <v>0</v>
      </c>
      <c r="BW115" s="34">
        <f>VLOOKUP($A115,'[1]Init $$'!$B$3:$CG$118,75,FALSE)</f>
        <v>0</v>
      </c>
      <c r="BX115" s="43">
        <f>'Est gen ed 23 $$'!BX115/'Est gen ed 23 pos'!BX$123</f>
        <v>0</v>
      </c>
      <c r="BY115" s="43">
        <f>'Est gen ed 23 $$'!BY115/'Est gen ed 23 pos'!BY$123</f>
        <v>0</v>
      </c>
      <c r="BZ115" s="43">
        <f>'Est gen ed 23 $$'!BZ115/'Est gen ed 23 pos'!BZ$123</f>
        <v>0</v>
      </c>
      <c r="CA115" s="34">
        <f>VLOOKUP($A115,'[1]Init $$'!$B$3:$CG$118,79,FALSE)</f>
        <v>799386.19</v>
      </c>
      <c r="CB115" s="34">
        <f>VLOOKUP($A115,'[1]Init $$'!$B$3:$CG$118,80,FALSE)</f>
        <v>172500.24</v>
      </c>
      <c r="CC115" s="34">
        <f>VLOOKUP($A115,'[1]Init $$'!$B$3:$CG$118,81,FALSE)</f>
        <v>0</v>
      </c>
      <c r="CD115" s="34">
        <f>VLOOKUP($A115,'[1]Init $$'!$B$3:$CG$118,82,FALSE)</f>
        <v>0</v>
      </c>
      <c r="CE115" s="34">
        <f>VLOOKUP($A115,'[1]Init $$'!$B$3:$CG$118,83,FALSE)</f>
        <v>0</v>
      </c>
      <c r="CF115" s="34">
        <f>VLOOKUP($A115,'[1]Init $$'!$B$3:$CG$118,84,FALSE)</f>
        <v>0</v>
      </c>
      <c r="CJ115" s="28">
        <f t="shared" si="6"/>
        <v>4076363.4599985145</v>
      </c>
      <c r="CK115" s="43">
        <f>'Est gen ed 23 $$'!CK115/'Est gen ed 23 pos'!CK$123</f>
        <v>0.99999604682144683</v>
      </c>
      <c r="CL115" s="43">
        <f>'Est gen ed 23 $$'!CL115/'Est gen ed 23 pos'!CL$123</f>
        <v>0.96000000000000008</v>
      </c>
      <c r="CM115" s="43">
        <f>'Est gen ed 23 $$'!CM115/'Est gen ed 23 pos'!CM$123</f>
        <v>1</v>
      </c>
      <c r="CN115" s="43">
        <f>'Est gen ed 23 $$'!CN115/'Est gen ed 23 pos'!CN$123</f>
        <v>0</v>
      </c>
      <c r="CO115" s="43">
        <f>'Est gen ed 23 $$'!CO115/'Est gen ed 23 pos'!CO$123</f>
        <v>0</v>
      </c>
      <c r="CP115" s="43">
        <f>'Est gen ed 23 $$'!CP115/'Est gen ed 23 pos'!CP$123</f>
        <v>0</v>
      </c>
      <c r="CQ115" s="43">
        <f>'Est gen ed 23 $$'!CQ115/'Est gen ed 23 pos'!CQ$123</f>
        <v>1</v>
      </c>
      <c r="CR115" s="43">
        <f>'Est gen ed 23 $$'!CR115/'Est gen ed 23 pos'!CR$123</f>
        <v>1</v>
      </c>
      <c r="CS115" s="43">
        <f>'Est gen ed 23 $$'!CS115/'Est gen ed 23 pos'!CS$123</f>
        <v>1</v>
      </c>
      <c r="CT115" s="43">
        <f>'Est gen ed 23 $$'!CT115/'Est gen ed 23 pos'!CT$123</f>
        <v>2</v>
      </c>
      <c r="CU115" s="43">
        <f>'Est gen ed 23 $$'!CU115/'Est gen ed 23 pos'!CU$123</f>
        <v>18</v>
      </c>
      <c r="CZ115" s="43">
        <f>'Est gen ed 23 $$'!CW115/'Est gen ed 23 pos'!CZ$123</f>
        <v>0</v>
      </c>
      <c r="DB115" s="28">
        <f t="shared" si="7"/>
        <v>2404132.5</v>
      </c>
      <c r="DC115" s="28">
        <f t="shared" si="4"/>
        <v>0</v>
      </c>
      <c r="DK115" s="34"/>
      <c r="DL115" s="34"/>
    </row>
    <row r="116" spans="1:137" x14ac:dyDescent="0.2">
      <c r="A116">
        <v>333</v>
      </c>
      <c r="B116" t="s">
        <v>9</v>
      </c>
      <c r="C116" t="s">
        <v>7</v>
      </c>
      <c r="D116">
        <v>6</v>
      </c>
      <c r="E116">
        <f>VLOOKUP($A116,'[1]Init $$'!$B$3:$CG$118,4,FALSE)</f>
        <v>417</v>
      </c>
      <c r="F116">
        <f>VLOOKUP($A116,'[1]Init $$'!$B$3:$CG$118,6,FALSE)</f>
        <v>417</v>
      </c>
      <c r="G116">
        <f>VLOOKUP($A116,'[2]$$xSchpostCouncilxLevel'!$A$4:$EW$120,153,FALSE)</f>
        <v>434</v>
      </c>
      <c r="H116" s="50">
        <f t="shared" si="5"/>
        <v>-17</v>
      </c>
      <c r="I116" s="4">
        <f>VLOOKUP($A116,'[1]Init $$'!$B$3:$CG$118,8,FALSE)</f>
        <v>0.28537170263788969</v>
      </c>
      <c r="J116">
        <f>VLOOKUP($A116,'[1]Init $$'!$B$3:$CG$118,7,FALSE)</f>
        <v>119</v>
      </c>
      <c r="K116" s="43">
        <f>'Est gen ed 23 $$'!K116/'Est gen ed 23 pos'!K$123</f>
        <v>1</v>
      </c>
      <c r="L116" s="43">
        <f>'Est gen ed 23 $$'!L116/'Est gen ed 23 pos'!L$123</f>
        <v>0</v>
      </c>
      <c r="M116" s="43">
        <f>'Est gen ed 23 $$'!M116/'Est gen ed 23 pos'!M$123</f>
        <v>0</v>
      </c>
      <c r="N116" s="43">
        <f>'Est gen ed 23 $$'!N116/'Est gen ed 23 pos'!N$123</f>
        <v>1</v>
      </c>
      <c r="O116" s="34">
        <f>VLOOKUP($A116,'[1]Init $$'!$B$3:$CG$118,15,FALSE)</f>
        <v>6126.45</v>
      </c>
      <c r="P116" s="43">
        <f>'Est gen ed 23 $$'!P116/'Est gen ed 23 pos'!P$123</f>
        <v>1</v>
      </c>
      <c r="Q116" s="43">
        <f>'Est gen ed 23 $$'!Q116/'Est gen ed 23 pos'!Q$123</f>
        <v>1</v>
      </c>
      <c r="R116" s="43">
        <f>'Est gen ed 23 $$'!R116/'Est gen ed 23 pos'!R$123</f>
        <v>2.0000001953611113</v>
      </c>
      <c r="S116" s="43">
        <f>'Est gen ed 23 $$'!S116/'Est gen ed 23 pos'!S$123</f>
        <v>1</v>
      </c>
      <c r="T116" s="43">
        <f>'Est gen ed 23 $$'!T116/'Est gen ed 23 pos'!T$123</f>
        <v>0</v>
      </c>
      <c r="U116" s="43">
        <f>'Est gen ed 23 $$'!U116/'Est gen ed 23 pos'!U$123</f>
        <v>0</v>
      </c>
      <c r="V116" s="43">
        <f>'Est gen ed 23 $$'!V116/'Est gen ed 23 pos'!V$123</f>
        <v>0</v>
      </c>
      <c r="W116" s="43">
        <f>'Est gen ed 23 $$'!W116/'Est gen ed 23 pos'!W$123</f>
        <v>0</v>
      </c>
      <c r="X116" s="34">
        <f>VLOOKUP($A116,'[1]Init $$'!$B$3:$CG$118,24,FALSE)</f>
        <v>0</v>
      </c>
      <c r="Y116" s="34">
        <f>VLOOKUP($A116,'[1]Init $$'!$B$3:$CG$118,25,FALSE)</f>
        <v>0</v>
      </c>
      <c r="Z116" s="34">
        <f>VLOOKUP($A116,'[1]Init $$'!$B$3:$CG$118,26,FALSE)</f>
        <v>0</v>
      </c>
      <c r="AA116" s="34">
        <f>VLOOKUP($A116,'[1]Init $$'!$B$3:$CG$118,27,FALSE)</f>
        <v>0</v>
      </c>
      <c r="AB116" s="43">
        <f>'Est gen ed 23 $$'!AB116/'Est gen ed 23 pos'!AB$123</f>
        <v>0</v>
      </c>
      <c r="AC116" s="43">
        <f>'Est gen ed 23 $$'!AC116/'Est gen ed 23 pos'!AC$123</f>
        <v>0</v>
      </c>
      <c r="AD116" s="43">
        <f>'Est gen ed 23 $$'!AD116/'Est gen ed 23 pos'!AD$123</f>
        <v>0</v>
      </c>
      <c r="AE116" s="43">
        <f>'Est gen ed 23 $$'!AE116/'Est gen ed 23 pos'!AE$123</f>
        <v>0</v>
      </c>
      <c r="AF116" s="34">
        <f>VLOOKUP($A116,'[1]Init $$'!$B$3:$CG$118,32,FALSE)</f>
        <v>2490741</v>
      </c>
      <c r="AG116" s="34">
        <f>VLOOKUP($A116,'[1]Init $$'!$B$3:$CG$118,33,FALSE)</f>
        <v>135525</v>
      </c>
      <c r="AH116" s="43">
        <f>'Est gen ed 23 $$'!AH116/'Est gen ed 23 pos'!AH$123</f>
        <v>1</v>
      </c>
      <c r="AI116" s="43">
        <f>'Est gen ed 23 $$'!AI116/'Est gen ed 23 pos'!AI$123</f>
        <v>1.9999999121515879</v>
      </c>
      <c r="AJ116" s="43">
        <f>'Est gen ed 23 $$'!AJ116/'Est gen ed 23 pos'!AJ$123</f>
        <v>2.9999999121515879</v>
      </c>
      <c r="AK116" s="43">
        <f>'Est gen ed 23 $$'!AK116/'Est gen ed 23 pos'!AK$123</f>
        <v>0</v>
      </c>
      <c r="AL116" s="43">
        <f>'Est gen ed 23 $$'!AL116/'Est gen ed 23 pos'!AL$123</f>
        <v>0</v>
      </c>
      <c r="AM116" s="43">
        <f>'Est gen ed 23 $$'!AM116/'Est gen ed 23 pos'!AM$123</f>
        <v>0</v>
      </c>
      <c r="AN116" s="43">
        <f>'Est gen ed 23 $$'!AN116/'Est gen ed 23 pos'!AN$123</f>
        <v>0</v>
      </c>
      <c r="AO116" s="43">
        <f>'Est gen ed 23 $$'!AO116/'Est gen ed 23 pos'!AO$123</f>
        <v>0</v>
      </c>
      <c r="AP116" s="34">
        <f>VLOOKUP($A116,'[1]Init $$'!$B$3:$CG$118,42,FALSE)</f>
        <v>68092.2</v>
      </c>
      <c r="AQ116" s="34">
        <f>VLOOKUP($A116,'[1]Init $$'!$B$3:$CG$118,43,FALSE)</f>
        <v>0</v>
      </c>
      <c r="AR116" s="43">
        <f>'Est gen ed 23 $$'!AR116/'Est gen ed 23 pos'!AR$123</f>
        <v>0</v>
      </c>
      <c r="AS116" s="43">
        <f>'Est gen ed 23 $$'!AS116/'Est gen ed 23 pos'!AS$123</f>
        <v>0.13999997364547631</v>
      </c>
      <c r="AT116" s="43">
        <f>'Est gen ed 23 $$'!AT116/'Est gen ed 23 pos'!AT$123</f>
        <v>0</v>
      </c>
      <c r="AU116" s="34">
        <f>VLOOKUP($A116,'[1]Init $$'!$B$3:$CG$118,47,FALSE)</f>
        <v>5375.7</v>
      </c>
      <c r="AV116" s="34">
        <f>VLOOKUP($A116,'[1]Init $$'!$B$3:$CG$118,48,FALSE)</f>
        <v>0</v>
      </c>
      <c r="AW116" s="34">
        <f>VLOOKUP($A116,'[1]Init $$'!$B$3:$CG$118,49,FALSE)</f>
        <v>0</v>
      </c>
      <c r="AX116" s="34">
        <f>VLOOKUP($A116,'[1]Init $$'!$B$3:$CG$118,50,FALSE)</f>
        <v>0</v>
      </c>
      <c r="AY116" s="34">
        <f>VLOOKUP($A116,'[1]Init $$'!$B$3:$CG$118,51,FALSE)</f>
        <v>0</v>
      </c>
      <c r="AZ116" s="34">
        <f>VLOOKUP($A116,'[1]Init $$'!$B$3:$CG$118,52,FALSE)</f>
        <v>0</v>
      </c>
      <c r="BA116" s="34">
        <f>VLOOKUP($A116,'[1]Init $$'!$B$3:$CG$118,53,FALSE)</f>
        <v>0</v>
      </c>
      <c r="BB116" s="34">
        <f>VLOOKUP($A116,'[1]Init $$'!$B$3:$CG$118,54,FALSE)</f>
        <v>0</v>
      </c>
      <c r="BC116" s="34">
        <f>VLOOKUP($A116,'[1]Init $$'!$B$3:$CG$118,55,FALSE)</f>
        <v>0</v>
      </c>
      <c r="BD116" s="34">
        <f>VLOOKUP($A116,'[1]Init $$'!$B$3:$CG$118,56,FALSE)</f>
        <v>0</v>
      </c>
      <c r="BE116" s="34">
        <f>VLOOKUP($A116,'[1]Init $$'!$B$3:$CG$118,57,FALSE)</f>
        <v>10425</v>
      </c>
      <c r="BF116" s="43">
        <f>'Est gen ed 23 $$'!BF116/'Est gen ed 23 pos'!BF$123</f>
        <v>0</v>
      </c>
      <c r="BG116" s="43">
        <f>'Est gen ed 23 $$'!BG116/'Est gen ed 23 pos'!BG$123</f>
        <v>0</v>
      </c>
      <c r="BH116" s="34">
        <f>VLOOKUP($A116,'[1]Init $$'!$B$3:$CG$118,60,FALSE)</f>
        <v>0</v>
      </c>
      <c r="BI116" s="34">
        <f>VLOOKUP($A116,'[1]Init $$'!$B$3:$CG$118,61,FALSE)</f>
        <v>0</v>
      </c>
      <c r="BJ116" s="34">
        <f>VLOOKUP($A116,'[1]Init $$'!$B$3:$CG$118,62,FALSE)</f>
        <v>0</v>
      </c>
      <c r="BK116" s="43">
        <f>'Est gen ed 23 $$'!BK116/'Est gen ed 23 pos'!BK$123</f>
        <v>0</v>
      </c>
      <c r="BL116" s="34">
        <f>VLOOKUP($A116,'[1]Init $$'!$B$3:$CG$118,64,FALSE)</f>
        <v>0</v>
      </c>
      <c r="BM116" s="43">
        <f>'Est gen ed 23 $$'!BM116/'Est gen ed 23 pos'!BM$123</f>
        <v>0</v>
      </c>
      <c r="BN116" s="34">
        <f>VLOOKUP($A116,'[1]Init $$'!$B$3:$CG$118,66,FALSE)</f>
        <v>0</v>
      </c>
      <c r="BO116" s="43">
        <f>'Est gen ed 23 $$'!BO116/'Est gen ed 23 pos'!BO$123</f>
        <v>0</v>
      </c>
      <c r="BP116" s="34">
        <f>VLOOKUP($A116,'[1]Init $$'!$B$3:$CG$118,68,FALSE)</f>
        <v>0</v>
      </c>
      <c r="BQ116" s="43">
        <f>'Est gen ed 23 $$'!BQ116/'Est gen ed 23 pos'!BQ$123</f>
        <v>0</v>
      </c>
      <c r="BR116" s="43">
        <f>'Est gen ed 23 $$'!BR116/'Est gen ed 23 pos'!BR$123</f>
        <v>0</v>
      </c>
      <c r="BS116" s="34">
        <f>VLOOKUP($A116,'[1]Init $$'!$B$3:$CG$118,71,FALSE)</f>
        <v>0</v>
      </c>
      <c r="BT116" s="34">
        <f>VLOOKUP($A116,'[1]Init $$'!$B$3:$CG$118,72,FALSE)</f>
        <v>0</v>
      </c>
      <c r="BU116" s="34">
        <f>VLOOKUP($A116,'[1]Init $$'!$B$3:$CG$118,73,FALSE)</f>
        <v>0</v>
      </c>
      <c r="BV116" s="34">
        <f>VLOOKUP($A116,'[1]Init $$'!$B$3:$CG$118,74,FALSE)</f>
        <v>0</v>
      </c>
      <c r="BW116" s="34">
        <f>VLOOKUP($A116,'[1]Init $$'!$B$3:$CG$118,75,FALSE)</f>
        <v>0</v>
      </c>
      <c r="BX116" s="43">
        <f>'Est gen ed 23 $$'!BX116/'Est gen ed 23 pos'!BX$123</f>
        <v>0</v>
      </c>
      <c r="BY116" s="43">
        <f>'Est gen ed 23 $$'!BY116/'Est gen ed 23 pos'!BY$123</f>
        <v>0</v>
      </c>
      <c r="BZ116" s="43">
        <f>'Est gen ed 23 $$'!BZ116/'Est gen ed 23 pos'!BZ$123</f>
        <v>0</v>
      </c>
      <c r="CA116" s="34">
        <f>VLOOKUP($A116,'[1]Init $$'!$B$3:$CG$118,79,FALSE)</f>
        <v>319217.98</v>
      </c>
      <c r="CB116" s="34">
        <f>VLOOKUP($A116,'[1]Init $$'!$B$3:$CG$118,80,FALSE)</f>
        <v>0</v>
      </c>
      <c r="CC116" s="34">
        <f>VLOOKUP($A116,'[1]Init $$'!$B$3:$CG$118,81,FALSE)</f>
        <v>0</v>
      </c>
      <c r="CD116" s="34">
        <f>VLOOKUP($A116,'[1]Init $$'!$B$3:$CG$118,82,FALSE)</f>
        <v>76137.37</v>
      </c>
      <c r="CE116" s="34">
        <f>VLOOKUP($A116,'[1]Init $$'!$B$3:$CG$118,83,FALSE)</f>
        <v>550707.22</v>
      </c>
      <c r="CF116" s="34">
        <f>VLOOKUP($A116,'[1]Init $$'!$B$3:$CG$118,84,FALSE)</f>
        <v>0</v>
      </c>
      <c r="CJ116" s="28">
        <f t="shared" si="6"/>
        <v>3662361.0599999931</v>
      </c>
      <c r="CK116" s="43">
        <f>'Est gen ed 23 $$'!CK116/'Est gen ed 23 pos'!CK$123</f>
        <v>0.99999604682144683</v>
      </c>
      <c r="CL116" s="43">
        <f>'Est gen ed 23 $$'!CL116/'Est gen ed 23 pos'!CL$123</f>
        <v>1.0425</v>
      </c>
      <c r="CM116" s="43">
        <f>'Est gen ed 23 $$'!CM116/'Est gen ed 23 pos'!CM$123</f>
        <v>1</v>
      </c>
      <c r="CN116" s="43">
        <f>'Est gen ed 23 $$'!CN116/'Est gen ed 23 pos'!CN$123</f>
        <v>0.95923261390887304</v>
      </c>
      <c r="CO116" s="43">
        <f>'Est gen ed 23 $$'!CO116/'Est gen ed 23 pos'!CO$123</f>
        <v>0</v>
      </c>
      <c r="CP116" s="43">
        <f>'Est gen ed 23 $$'!CP116/'Est gen ed 23 pos'!CP$123</f>
        <v>0</v>
      </c>
      <c r="CQ116" s="43">
        <f>'Est gen ed 23 $$'!CQ116/'Est gen ed 23 pos'!CQ$123</f>
        <v>0.99999604682144683</v>
      </c>
      <c r="CR116" s="43">
        <f>'Est gen ed 23 $$'!CR116/'Est gen ed 23 pos'!CR$123</f>
        <v>0.99999604682144683</v>
      </c>
      <c r="CS116" s="43">
        <f>'Est gen ed 23 $$'!CS116/'Est gen ed 23 pos'!CS$123</f>
        <v>1.9999920936428937</v>
      </c>
      <c r="CT116" s="43">
        <f>'Est gen ed 23 $$'!CT116/'Est gen ed 23 pos'!CT$123</f>
        <v>0</v>
      </c>
      <c r="CU116" s="43">
        <f>'Est gen ed 23 $$'!CU116/'Est gen ed 23 pos'!CU$123</f>
        <v>20.999999999999996</v>
      </c>
      <c r="CZ116" s="43">
        <f>'Est gen ed 23 $$'!CW116/'Est gen ed 23 pos'!CZ$123</f>
        <v>0</v>
      </c>
      <c r="DB116" s="28">
        <f t="shared" si="7"/>
        <v>2490741</v>
      </c>
      <c r="DC116" s="28">
        <f t="shared" si="4"/>
        <v>626844.59</v>
      </c>
      <c r="DK116" s="34"/>
      <c r="DL116" s="34"/>
    </row>
    <row r="117" spans="1:137" x14ac:dyDescent="0.2">
      <c r="A117">
        <v>336</v>
      </c>
      <c r="B117" t="s">
        <v>8</v>
      </c>
      <c r="C117" t="s">
        <v>7</v>
      </c>
      <c r="D117">
        <v>4</v>
      </c>
      <c r="E117">
        <f>VLOOKUP($A117,'[1]Init $$'!$B$3:$CG$118,4,FALSE)</f>
        <v>401</v>
      </c>
      <c r="F117">
        <f>VLOOKUP($A117,'[1]Init $$'!$B$3:$CG$118,6,FALSE)</f>
        <v>303</v>
      </c>
      <c r="G117">
        <f>VLOOKUP($A117,'[2]$$xSchpostCouncilxLevel'!$A$4:$EW$120,153,FALSE)</f>
        <v>262</v>
      </c>
      <c r="H117" s="50">
        <f t="shared" si="5"/>
        <v>41</v>
      </c>
      <c r="I117" s="4">
        <f>VLOOKUP($A117,'[1]Init $$'!$B$3:$CG$118,8,FALSE)</f>
        <v>0.38902743142144636</v>
      </c>
      <c r="J117">
        <f>VLOOKUP($A117,'[1]Init $$'!$B$3:$CG$118,7,FALSE)</f>
        <v>156</v>
      </c>
      <c r="K117" s="43">
        <f>'Est gen ed 23 $$'!K117/'Est gen ed 23 pos'!K$123</f>
        <v>1</v>
      </c>
      <c r="L117" s="43">
        <f>'Est gen ed 23 $$'!L117/'Est gen ed 23 pos'!L$123</f>
        <v>0</v>
      </c>
      <c r="M117" s="43">
        <f>'Est gen ed 23 $$'!M117/'Est gen ed 23 pos'!M$123</f>
        <v>0</v>
      </c>
      <c r="N117" s="43">
        <f>'Est gen ed 23 $$'!N117/'Est gen ed 23 pos'!N$123</f>
        <v>1</v>
      </c>
      <c r="O117" s="34">
        <f>VLOOKUP($A117,'[1]Init $$'!$B$3:$CG$118,15,FALSE)</f>
        <v>7025.45</v>
      </c>
      <c r="P117" s="43">
        <f>'Est gen ed 23 $$'!P117/'Est gen ed 23 pos'!P$123</f>
        <v>1</v>
      </c>
      <c r="Q117" s="43">
        <f>'Est gen ed 23 $$'!Q117/'Est gen ed 23 pos'!Q$123</f>
        <v>1</v>
      </c>
      <c r="R117" s="43">
        <f>'Est gen ed 23 $$'!R117/'Est gen ed 23 pos'!R$123</f>
        <v>2.0000001953611113</v>
      </c>
      <c r="S117" s="43">
        <f>'Est gen ed 23 $$'!S117/'Est gen ed 23 pos'!S$123</f>
        <v>1</v>
      </c>
      <c r="T117" s="43">
        <f>'Est gen ed 23 $$'!T117/'Est gen ed 23 pos'!T$123</f>
        <v>2.9999999121515879</v>
      </c>
      <c r="U117" s="43">
        <f>'Est gen ed 23 $$'!U117/'Est gen ed 23 pos'!U$123</f>
        <v>0</v>
      </c>
      <c r="V117" s="43">
        <f>'Est gen ed 23 $$'!V117/'Est gen ed 23 pos'!V$123</f>
        <v>2.9999999121515879</v>
      </c>
      <c r="W117" s="43">
        <f>'Est gen ed 23 $$'!W117/'Est gen ed 23 pos'!W$123</f>
        <v>5.9999994893586166</v>
      </c>
      <c r="X117" s="34">
        <f>VLOOKUP($A117,'[1]Init $$'!$B$3:$CG$118,24,FALSE)</f>
        <v>175606.2</v>
      </c>
      <c r="Y117" s="34">
        <f>VLOOKUP($A117,'[1]Init $$'!$B$3:$CG$118,25,FALSE)</f>
        <v>0</v>
      </c>
      <c r="Z117" s="34">
        <f>VLOOKUP($A117,'[1]Init $$'!$B$3:$CG$118,26,FALSE)</f>
        <v>0</v>
      </c>
      <c r="AA117" s="34">
        <f>VLOOKUP($A117,'[1]Init $$'!$B$3:$CG$118,27,FALSE)</f>
        <v>0</v>
      </c>
      <c r="AB117" s="43">
        <f>'Est gen ed 23 $$'!AB117/'Est gen ed 23 pos'!AB$123</f>
        <v>0</v>
      </c>
      <c r="AC117" s="43">
        <f>'Est gen ed 23 $$'!AC117/'Est gen ed 23 pos'!AC$123</f>
        <v>0</v>
      </c>
      <c r="AD117" s="43">
        <f>'Est gen ed 23 $$'!AD117/'Est gen ed 23 pos'!AD$123</f>
        <v>0</v>
      </c>
      <c r="AE117" s="43">
        <f>'Est gen ed 23 $$'!AE117/'Est gen ed 23 pos'!AE$123</f>
        <v>0</v>
      </c>
      <c r="AF117" s="34">
        <f>VLOOKUP($A117,'[1]Init $$'!$B$3:$CG$118,32,FALSE)</f>
        <v>1809819</v>
      </c>
      <c r="AG117" s="34">
        <f>VLOOKUP($A117,'[1]Init $$'!$B$3:$CG$118,33,FALSE)</f>
        <v>130325</v>
      </c>
      <c r="AH117" s="43">
        <f>'Est gen ed 23 $$'!AH117/'Est gen ed 23 pos'!AH$123</f>
        <v>1</v>
      </c>
      <c r="AI117" s="43">
        <f>'Est gen ed 23 $$'!AI117/'Est gen ed 23 pos'!AI$123</f>
        <v>1.9999999121515879</v>
      </c>
      <c r="AJ117" s="43">
        <f>'Est gen ed 23 $$'!AJ117/'Est gen ed 23 pos'!AJ$123</f>
        <v>2.9999999121515879</v>
      </c>
      <c r="AK117" s="43">
        <f>'Est gen ed 23 $$'!AK117/'Est gen ed 23 pos'!AK$123</f>
        <v>3.9999998243031758</v>
      </c>
      <c r="AL117" s="43">
        <f>'Est gen ed 23 $$'!AL117/'Est gen ed 23 pos'!AL$123</f>
        <v>5.9999994893586166</v>
      </c>
      <c r="AM117" s="43">
        <f>'Est gen ed 23 $$'!AM117/'Est gen ed 23 pos'!AM$123</f>
        <v>0</v>
      </c>
      <c r="AN117" s="43">
        <f>'Est gen ed 23 $$'!AN117/'Est gen ed 23 pos'!AN$123</f>
        <v>0</v>
      </c>
      <c r="AO117" s="43">
        <f>'Est gen ed 23 $$'!AO117/'Est gen ed 23 pos'!AO$123</f>
        <v>0</v>
      </c>
      <c r="AP117" s="34">
        <f>VLOOKUP($A117,'[1]Init $$'!$B$3:$CG$118,42,FALSE)</f>
        <v>98554.5</v>
      </c>
      <c r="AQ117" s="34">
        <f>VLOOKUP($A117,'[1]Init $$'!$B$3:$CG$118,43,FALSE)</f>
        <v>0</v>
      </c>
      <c r="AR117" s="43">
        <f>'Est gen ed 23 $$'!AR117/'Est gen ed 23 pos'!AR$123</f>
        <v>3.4999998682273818</v>
      </c>
      <c r="AS117" s="43">
        <f>'Est gen ed 23 $$'!AS117/'Est gen ed 23 pos'!AS$123</f>
        <v>0</v>
      </c>
      <c r="AT117" s="43">
        <f>'Est gen ed 23 $$'!AT117/'Est gen ed 23 pos'!AT$123</f>
        <v>0</v>
      </c>
      <c r="AU117" s="34">
        <f>VLOOKUP($A117,'[1]Init $$'!$B$3:$CG$118,47,FALSE)</f>
        <v>125433</v>
      </c>
      <c r="AV117" s="34">
        <f>VLOOKUP($A117,'[1]Init $$'!$B$3:$CG$118,48,FALSE)</f>
        <v>20400</v>
      </c>
      <c r="AW117" s="34">
        <f>VLOOKUP($A117,'[1]Init $$'!$B$3:$CG$118,49,FALSE)</f>
        <v>13600</v>
      </c>
      <c r="AX117" s="34">
        <f>VLOOKUP($A117,'[1]Init $$'!$B$3:$CG$118,50,FALSE)</f>
        <v>0</v>
      </c>
      <c r="AY117" s="34">
        <f>VLOOKUP($A117,'[1]Init $$'!$B$3:$CG$118,51,FALSE)</f>
        <v>0</v>
      </c>
      <c r="AZ117" s="34">
        <f>VLOOKUP($A117,'[1]Init $$'!$B$3:$CG$118,52,FALSE)</f>
        <v>27200</v>
      </c>
      <c r="BA117" s="34">
        <f>VLOOKUP($A117,'[1]Init $$'!$B$3:$CG$118,53,FALSE)</f>
        <v>10200</v>
      </c>
      <c r="BB117" s="34">
        <f>VLOOKUP($A117,'[1]Init $$'!$B$3:$CG$118,54,FALSE)</f>
        <v>20400</v>
      </c>
      <c r="BC117" s="34">
        <f>VLOOKUP($A117,'[1]Init $$'!$B$3:$CG$118,55,FALSE)</f>
        <v>93516.11</v>
      </c>
      <c r="BD117" s="34">
        <f>VLOOKUP($A117,'[1]Init $$'!$B$3:$CG$118,56,FALSE)</f>
        <v>1506.31</v>
      </c>
      <c r="BE117" s="34">
        <f>VLOOKUP($A117,'[1]Init $$'!$B$3:$CG$118,57,FALSE)</f>
        <v>0</v>
      </c>
      <c r="BF117" s="43">
        <f>'Est gen ed 23 $$'!BF117/'Est gen ed 23 pos'!BF$123</f>
        <v>0</v>
      </c>
      <c r="BG117" s="43">
        <f>'Est gen ed 23 $$'!BG117/'Est gen ed 23 pos'!BG$123</f>
        <v>0</v>
      </c>
      <c r="BH117" s="34">
        <f>VLOOKUP($A117,'[1]Init $$'!$B$3:$CG$118,60,FALSE)</f>
        <v>0</v>
      </c>
      <c r="BI117" s="34">
        <f>VLOOKUP($A117,'[1]Init $$'!$B$3:$CG$118,61,FALSE)</f>
        <v>0</v>
      </c>
      <c r="BJ117" s="34">
        <f>VLOOKUP($A117,'[1]Init $$'!$B$3:$CG$118,62,FALSE)</f>
        <v>0</v>
      </c>
      <c r="BK117" s="43">
        <f>'Est gen ed 23 $$'!BK117/'Est gen ed 23 pos'!BK$123</f>
        <v>0</v>
      </c>
      <c r="BL117" s="34">
        <f>VLOOKUP($A117,'[1]Init $$'!$B$3:$CG$118,64,FALSE)</f>
        <v>0</v>
      </c>
      <c r="BM117" s="43">
        <f>'Est gen ed 23 $$'!BM117/'Est gen ed 23 pos'!BM$123</f>
        <v>0</v>
      </c>
      <c r="BN117" s="34">
        <f>VLOOKUP($A117,'[1]Init $$'!$B$3:$CG$118,66,FALSE)</f>
        <v>0</v>
      </c>
      <c r="BO117" s="43">
        <f>'Est gen ed 23 $$'!BO117/'Est gen ed 23 pos'!BO$123</f>
        <v>0</v>
      </c>
      <c r="BP117" s="34">
        <f>VLOOKUP($A117,'[1]Init $$'!$B$3:$CG$118,68,FALSE)</f>
        <v>0</v>
      </c>
      <c r="BQ117" s="43">
        <f>'Est gen ed 23 $$'!BQ117/'Est gen ed 23 pos'!BQ$123</f>
        <v>0</v>
      </c>
      <c r="BR117" s="43">
        <f>'Est gen ed 23 $$'!BR117/'Est gen ed 23 pos'!BR$123</f>
        <v>0</v>
      </c>
      <c r="BS117" s="34">
        <f>VLOOKUP($A117,'[1]Init $$'!$B$3:$CG$118,71,FALSE)</f>
        <v>0</v>
      </c>
      <c r="BT117" s="34">
        <f>VLOOKUP($A117,'[1]Init $$'!$B$3:$CG$118,72,FALSE)</f>
        <v>0</v>
      </c>
      <c r="BU117" s="34">
        <f>VLOOKUP($A117,'[1]Init $$'!$B$3:$CG$118,73,FALSE)</f>
        <v>15325</v>
      </c>
      <c r="BV117" s="34">
        <f>VLOOKUP($A117,'[1]Init $$'!$B$3:$CG$118,74,FALSE)</f>
        <v>0</v>
      </c>
      <c r="BW117" s="34">
        <f>VLOOKUP($A117,'[1]Init $$'!$B$3:$CG$118,75,FALSE)</f>
        <v>0</v>
      </c>
      <c r="BX117" s="43">
        <f>'Est gen ed 23 $$'!BX117/'Est gen ed 23 pos'!BX$123</f>
        <v>0</v>
      </c>
      <c r="BY117" s="43">
        <f>'Est gen ed 23 $$'!BY117/'Est gen ed 23 pos'!BY$123</f>
        <v>0</v>
      </c>
      <c r="BZ117" s="43">
        <f>'Est gen ed 23 $$'!BZ117/'Est gen ed 23 pos'!BZ$123</f>
        <v>0</v>
      </c>
      <c r="CA117" s="34">
        <f>VLOOKUP($A117,'[1]Init $$'!$B$3:$CG$118,79,FALSE)</f>
        <v>418470.62</v>
      </c>
      <c r="CB117" s="34">
        <f>VLOOKUP($A117,'[1]Init $$'!$B$3:$CG$118,80,FALSE)</f>
        <v>0</v>
      </c>
      <c r="CC117" s="34">
        <f>VLOOKUP($A117,'[1]Init $$'!$B$3:$CG$118,81,FALSE)</f>
        <v>0</v>
      </c>
      <c r="CD117" s="34">
        <f>VLOOKUP($A117,'[1]Init $$'!$B$3:$CG$118,82,FALSE)</f>
        <v>0</v>
      </c>
      <c r="CE117" s="34">
        <f>VLOOKUP($A117,'[1]Init $$'!$B$3:$CG$118,83,FALSE)</f>
        <v>222508.74</v>
      </c>
      <c r="CF117" s="34">
        <f>VLOOKUP($A117,'[1]Init $$'!$B$3:$CG$118,84,FALSE)</f>
        <v>0</v>
      </c>
      <c r="CJ117" s="28">
        <f t="shared" si="6"/>
        <v>3189928.4299985152</v>
      </c>
      <c r="CK117" s="43">
        <f>'Est gen ed 23 $$'!CK117/'Est gen ed 23 pos'!CK$123</f>
        <v>0.99999604682144683</v>
      </c>
      <c r="CL117" s="43">
        <f>'Est gen ed 23 $$'!CL117/'Est gen ed 23 pos'!CL$123</f>
        <v>1.0024999999999999</v>
      </c>
      <c r="CM117" s="43">
        <f>'Est gen ed 23 $$'!CM117/'Est gen ed 23 pos'!CM$123</f>
        <v>1</v>
      </c>
      <c r="CN117" s="43">
        <f>'Est gen ed 23 $$'!CN117/'Est gen ed 23 pos'!CN$123</f>
        <v>0.99750623441396513</v>
      </c>
      <c r="CO117" s="43">
        <f>'Est gen ed 23 $$'!CO117/'Est gen ed 23 pos'!CO$123</f>
        <v>0</v>
      </c>
      <c r="CP117" s="43">
        <f>'Est gen ed 23 $$'!CP117/'Est gen ed 23 pos'!CP$123</f>
        <v>0</v>
      </c>
      <c r="CQ117" s="43">
        <f>'Est gen ed 23 $$'!CQ117/'Est gen ed 23 pos'!CQ$123</f>
        <v>0.99999604682144683</v>
      </c>
      <c r="CR117" s="43">
        <f>'Est gen ed 23 $$'!CR117/'Est gen ed 23 pos'!CR$123</f>
        <v>0.99999604682144683</v>
      </c>
      <c r="CS117" s="43">
        <f>'Est gen ed 23 $$'!CS117/'Est gen ed 23 pos'!CS$123</f>
        <v>1.9999920936428937</v>
      </c>
      <c r="CT117" s="43">
        <f>'Est gen ed 23 $$'!CT117/'Est gen ed 23 pos'!CT$123</f>
        <v>3</v>
      </c>
      <c r="CU117" s="43">
        <f>'Est gen ed 23 $$'!CU117/'Est gen ed 23 pos'!CU$123</f>
        <v>16</v>
      </c>
      <c r="CZ117" s="43">
        <f>'Est gen ed 23 $$'!CW117/'Est gen ed 23 pos'!CZ$123</f>
        <v>0</v>
      </c>
      <c r="DB117" s="28">
        <f t="shared" si="7"/>
        <v>1809819</v>
      </c>
      <c r="DC117" s="28">
        <f t="shared" si="4"/>
        <v>222508.74</v>
      </c>
      <c r="DK117" s="34"/>
      <c r="DL117" s="34"/>
    </row>
    <row r="118" spans="1:137" x14ac:dyDescent="0.2">
      <c r="A118">
        <v>335</v>
      </c>
      <c r="B118" t="s">
        <v>6</v>
      </c>
      <c r="C118" t="s">
        <v>4</v>
      </c>
      <c r="D118">
        <v>5</v>
      </c>
      <c r="E118">
        <f>VLOOKUP($A118,'[1]Init $$'!$B$3:$CG$118,4,FALSE)</f>
        <v>355</v>
      </c>
      <c r="F118">
        <f>VLOOKUP($A118,'[1]Init $$'!$B$3:$CG$118,6,FALSE)</f>
        <v>289</v>
      </c>
      <c r="G118">
        <f>VLOOKUP($A118,'[2]$$xSchpostCouncilxLevel'!$A$4:$EW$120,153,FALSE)</f>
        <v>256</v>
      </c>
      <c r="H118" s="50">
        <f t="shared" si="5"/>
        <v>33</v>
      </c>
      <c r="I118" s="4">
        <f>VLOOKUP($A118,'[1]Init $$'!$B$3:$CG$118,8,FALSE)</f>
        <v>0.72394366197183102</v>
      </c>
      <c r="J118">
        <f>VLOOKUP($A118,'[1]Init $$'!$B$3:$CG$118,7,FALSE)</f>
        <v>257</v>
      </c>
      <c r="K118" s="43">
        <f>'Est gen ed 23 $$'!K118/'Est gen ed 23 pos'!K$123</f>
        <v>1</v>
      </c>
      <c r="L118" s="43">
        <f>'Est gen ed 23 $$'!L118/'Est gen ed 23 pos'!L$123</f>
        <v>0.49999995607579389</v>
      </c>
      <c r="M118" s="43">
        <f>'Est gen ed 23 $$'!M118/'Est gen ed 23 pos'!M$123</f>
        <v>0</v>
      </c>
      <c r="N118" s="43">
        <f>'Est gen ed 23 $$'!N118/'Est gen ed 23 pos'!N$123</f>
        <v>1</v>
      </c>
      <c r="O118" s="34">
        <f>VLOOKUP($A118,'[1]Init $$'!$B$3:$CG$118,15,FALSE)</f>
        <v>7194.65</v>
      </c>
      <c r="P118" s="43">
        <f>'Est gen ed 23 $$'!P118/'Est gen ed 23 pos'!P$123</f>
        <v>1</v>
      </c>
      <c r="Q118" s="43">
        <f>'Est gen ed 23 $$'!Q118/'Est gen ed 23 pos'!Q$123</f>
        <v>1</v>
      </c>
      <c r="R118" s="43">
        <f>'Est gen ed 23 $$'!R118/'Est gen ed 23 pos'!R$123</f>
        <v>2.0000001953611113</v>
      </c>
      <c r="S118" s="43">
        <f>'Est gen ed 23 $$'!S118/'Est gen ed 23 pos'!S$123</f>
        <v>1</v>
      </c>
      <c r="T118" s="43">
        <f>'Est gen ed 23 $$'!T118/'Est gen ed 23 pos'!T$123</f>
        <v>1.9999999121515879</v>
      </c>
      <c r="U118" s="43">
        <f>'Est gen ed 23 $$'!U118/'Est gen ed 23 pos'!U$123</f>
        <v>1</v>
      </c>
      <c r="V118" s="43">
        <f>'Est gen ed 23 $$'!V118/'Est gen ed 23 pos'!V$123</f>
        <v>1.9999999121515879</v>
      </c>
      <c r="W118" s="43">
        <f>'Est gen ed 23 $$'!W118/'Est gen ed 23 pos'!W$123</f>
        <v>4.9999994893586166</v>
      </c>
      <c r="X118" s="34">
        <f>VLOOKUP($A118,'[1]Init $$'!$B$3:$CG$118,24,FALSE)</f>
        <v>118265.4</v>
      </c>
      <c r="Y118" s="34">
        <f>VLOOKUP($A118,'[1]Init $$'!$B$3:$CG$118,25,FALSE)</f>
        <v>0</v>
      </c>
      <c r="Z118" s="34">
        <f>VLOOKUP($A118,'[1]Init $$'!$B$3:$CG$118,26,FALSE)</f>
        <v>0</v>
      </c>
      <c r="AA118" s="34">
        <f>VLOOKUP($A118,'[1]Init $$'!$B$3:$CG$118,27,FALSE)</f>
        <v>431549.25</v>
      </c>
      <c r="AB118" s="43">
        <f>'Est gen ed 23 $$'!AB118/'Est gen ed 23 pos'!AB$123</f>
        <v>0</v>
      </c>
      <c r="AC118" s="43">
        <f>'Est gen ed 23 $$'!AC118/'Est gen ed 23 pos'!AC$123</f>
        <v>0</v>
      </c>
      <c r="AD118" s="43">
        <f>'Est gen ed 23 $$'!AD118/'Est gen ed 23 pos'!AD$123</f>
        <v>0</v>
      </c>
      <c r="AE118" s="43">
        <f>'Est gen ed 23 $$'!AE118/'Est gen ed 23 pos'!AE$123</f>
        <v>0</v>
      </c>
      <c r="AF118" s="34">
        <f>VLOOKUP($A118,'[1]Init $$'!$B$3:$CG$118,32,FALSE)</f>
        <v>1726197</v>
      </c>
      <c r="AG118" s="34">
        <f>VLOOKUP($A118,'[1]Init $$'!$B$3:$CG$118,33,FALSE)</f>
        <v>117150</v>
      </c>
      <c r="AH118" s="43">
        <f>'Est gen ed 23 $$'!AH118/'Est gen ed 23 pos'!AH$123</f>
        <v>1</v>
      </c>
      <c r="AI118" s="43">
        <f>'Est gen ed 23 $$'!AI118/'Est gen ed 23 pos'!AI$123</f>
        <v>2.9999999121515879</v>
      </c>
      <c r="AJ118" s="43">
        <f>'Est gen ed 23 $$'!AJ118/'Est gen ed 23 pos'!AJ$123</f>
        <v>5.9999998243031758</v>
      </c>
      <c r="AK118" s="43">
        <f>'Est gen ed 23 $$'!AK118/'Est gen ed 23 pos'!AK$123</f>
        <v>2.9999999121515879</v>
      </c>
      <c r="AL118" s="43">
        <f>'Est gen ed 23 $$'!AL118/'Est gen ed 23 pos'!AL$123</f>
        <v>4.9999994893586166</v>
      </c>
      <c r="AM118" s="43">
        <f>'Est gen ed 23 $$'!AM118/'Est gen ed 23 pos'!AM$123</f>
        <v>0</v>
      </c>
      <c r="AN118" s="43">
        <f>'Est gen ed 23 $$'!AN118/'Est gen ed 23 pos'!AN$123</f>
        <v>0</v>
      </c>
      <c r="AO118" s="43">
        <f>'Est gen ed 23 $$'!AO118/'Est gen ed 23 pos'!AO$123</f>
        <v>0</v>
      </c>
      <c r="AP118" s="34">
        <f>VLOOKUP($A118,'[1]Init $$'!$B$3:$CG$118,42,FALSE)</f>
        <v>62716.5</v>
      </c>
      <c r="AQ118" s="34">
        <f>VLOOKUP($A118,'[1]Init $$'!$B$3:$CG$118,43,FALSE)</f>
        <v>0</v>
      </c>
      <c r="AR118" s="43">
        <f>'Est gen ed 23 $$'!AR118/'Est gen ed 23 pos'!AR$123</f>
        <v>1.9999999121515879</v>
      </c>
      <c r="AS118" s="43">
        <f>'Est gen ed 23 $$'!AS118/'Est gen ed 23 pos'!AS$123</f>
        <v>0</v>
      </c>
      <c r="AT118" s="43">
        <f>'Est gen ed 23 $$'!AT118/'Est gen ed 23 pos'!AT$123</f>
        <v>0</v>
      </c>
      <c r="AU118" s="34">
        <f>VLOOKUP($A118,'[1]Init $$'!$B$3:$CG$118,47,FALSE)</f>
        <v>60924.6</v>
      </c>
      <c r="AV118" s="34">
        <f>VLOOKUP($A118,'[1]Init $$'!$B$3:$CG$118,48,FALSE)</f>
        <v>13600</v>
      </c>
      <c r="AW118" s="34">
        <f>VLOOKUP($A118,'[1]Init $$'!$B$3:$CG$118,49,FALSE)</f>
        <v>6800</v>
      </c>
      <c r="AX118" s="34">
        <f>VLOOKUP($A118,'[1]Init $$'!$B$3:$CG$118,50,FALSE)</f>
        <v>0</v>
      </c>
      <c r="AY118" s="34">
        <f>VLOOKUP($A118,'[1]Init $$'!$B$3:$CG$118,51,FALSE)</f>
        <v>0</v>
      </c>
      <c r="AZ118" s="34">
        <f>VLOOKUP($A118,'[1]Init $$'!$B$3:$CG$118,52,FALSE)</f>
        <v>20400</v>
      </c>
      <c r="BA118" s="34">
        <f>VLOOKUP($A118,'[1]Init $$'!$B$3:$CG$118,53,FALSE)</f>
        <v>10200</v>
      </c>
      <c r="BB118" s="34">
        <f>VLOOKUP($A118,'[1]Init $$'!$B$3:$CG$118,54,FALSE)</f>
        <v>13600</v>
      </c>
      <c r="BC118" s="34">
        <f>VLOOKUP($A118,'[1]Init $$'!$B$3:$CG$118,55,FALSE)</f>
        <v>192119.32</v>
      </c>
      <c r="BD118" s="34">
        <f>VLOOKUP($A118,'[1]Init $$'!$B$3:$CG$118,56,FALSE)</f>
        <v>3094.57</v>
      </c>
      <c r="BE118" s="34">
        <f>VLOOKUP($A118,'[1]Init $$'!$B$3:$CG$118,57,FALSE)</f>
        <v>0</v>
      </c>
      <c r="BF118" s="43">
        <f>'Est gen ed 23 $$'!BF118/'Est gen ed 23 pos'!BF$123</f>
        <v>0</v>
      </c>
      <c r="BG118" s="43">
        <f>'Est gen ed 23 $$'!BG118/'Est gen ed 23 pos'!BG$123</f>
        <v>0</v>
      </c>
      <c r="BH118" s="34">
        <f>VLOOKUP($A118,'[1]Init $$'!$B$3:$CG$118,60,FALSE)</f>
        <v>0</v>
      </c>
      <c r="BI118" s="34">
        <f>VLOOKUP($A118,'[1]Init $$'!$B$3:$CG$118,61,FALSE)</f>
        <v>0</v>
      </c>
      <c r="BJ118" s="34">
        <f>VLOOKUP($A118,'[1]Init $$'!$B$3:$CG$118,62,FALSE)</f>
        <v>0</v>
      </c>
      <c r="BK118" s="43">
        <f>'Est gen ed 23 $$'!BK118/'Est gen ed 23 pos'!BK$123</f>
        <v>0</v>
      </c>
      <c r="BL118" s="34">
        <f>VLOOKUP($A118,'[1]Init $$'!$B$3:$CG$118,64,FALSE)</f>
        <v>0</v>
      </c>
      <c r="BM118" s="43">
        <f>'Est gen ed 23 $$'!BM118/'Est gen ed 23 pos'!BM$123</f>
        <v>0</v>
      </c>
      <c r="BN118" s="34">
        <f>VLOOKUP($A118,'[1]Init $$'!$B$3:$CG$118,66,FALSE)</f>
        <v>0</v>
      </c>
      <c r="BO118" s="43">
        <f>'Est gen ed 23 $$'!BO118/'Est gen ed 23 pos'!BO$123</f>
        <v>0</v>
      </c>
      <c r="BP118" s="34">
        <f>VLOOKUP($A118,'[1]Init $$'!$B$3:$CG$118,68,FALSE)</f>
        <v>0</v>
      </c>
      <c r="BQ118" s="43">
        <f>'Est gen ed 23 $$'!BQ118/'Est gen ed 23 pos'!BQ$123</f>
        <v>0</v>
      </c>
      <c r="BR118" s="43">
        <f>'Est gen ed 23 $$'!BR118/'Est gen ed 23 pos'!BR$123</f>
        <v>0</v>
      </c>
      <c r="BS118" s="34">
        <f>VLOOKUP($A118,'[1]Init $$'!$B$3:$CG$118,71,FALSE)</f>
        <v>0</v>
      </c>
      <c r="BT118" s="34">
        <f>VLOOKUP($A118,'[1]Init $$'!$B$3:$CG$118,72,FALSE)</f>
        <v>0</v>
      </c>
      <c r="BU118" s="34">
        <f>VLOOKUP($A118,'[1]Init $$'!$B$3:$CG$118,73,FALSE)</f>
        <v>15325</v>
      </c>
      <c r="BV118" s="34">
        <f>VLOOKUP($A118,'[1]Init $$'!$B$3:$CG$118,74,FALSE)</f>
        <v>0</v>
      </c>
      <c r="BW118" s="34">
        <f>VLOOKUP($A118,'[1]Init $$'!$B$3:$CG$118,75,FALSE)</f>
        <v>0</v>
      </c>
      <c r="BX118" s="43">
        <f>'Est gen ed 23 $$'!BX118/'Est gen ed 23 pos'!BX$123</f>
        <v>0</v>
      </c>
      <c r="BY118" s="43">
        <f>'Est gen ed 23 $$'!BY118/'Est gen ed 23 pos'!BY$123</f>
        <v>0</v>
      </c>
      <c r="BZ118" s="43">
        <f>'Est gen ed 23 $$'!BZ118/'Est gen ed 23 pos'!BZ$123</f>
        <v>0</v>
      </c>
      <c r="CA118" s="34">
        <f>VLOOKUP($A118,'[1]Init $$'!$B$3:$CG$118,79,FALSE)</f>
        <v>689403.53</v>
      </c>
      <c r="CB118" s="34">
        <f>VLOOKUP($A118,'[1]Init $$'!$B$3:$CG$118,80,FALSE)</f>
        <v>137379</v>
      </c>
      <c r="CC118" s="34">
        <f>VLOOKUP($A118,'[1]Init $$'!$B$3:$CG$118,81,FALSE)</f>
        <v>0</v>
      </c>
      <c r="CD118" s="34">
        <f>VLOOKUP($A118,'[1]Init $$'!$B$3:$CG$118,82,FALSE)</f>
        <v>0</v>
      </c>
      <c r="CE118" s="34">
        <f>VLOOKUP($A118,'[1]Init $$'!$B$3:$CG$118,83,FALSE)</f>
        <v>0</v>
      </c>
      <c r="CF118" s="34">
        <f>VLOOKUP($A118,'[1]Init $$'!$B$3:$CG$118,84,FALSE)</f>
        <v>0</v>
      </c>
      <c r="CJ118" s="28">
        <f t="shared" si="6"/>
        <v>3625956.3199985148</v>
      </c>
      <c r="CK118" s="43">
        <f>'Est gen ed 23 $$'!CK118/'Est gen ed 23 pos'!CK$123</f>
        <v>0.99999604682144683</v>
      </c>
      <c r="CL118" s="43">
        <f>'Est gen ed 23 $$'!CL118/'Est gen ed 23 pos'!CL$123</f>
        <v>0.88749999999999996</v>
      </c>
      <c r="CM118" s="43">
        <f>'Est gen ed 23 $$'!CM118/'Est gen ed 23 pos'!CM$123</f>
        <v>1</v>
      </c>
      <c r="CN118" s="43">
        <f>'Est gen ed 23 $$'!CN118/'Est gen ed 23 pos'!CN$123</f>
        <v>0</v>
      </c>
      <c r="CO118" s="43">
        <f>'Est gen ed 23 $$'!CO118/'Est gen ed 23 pos'!CO$123</f>
        <v>0</v>
      </c>
      <c r="CP118" s="43">
        <f>'Est gen ed 23 $$'!CP118/'Est gen ed 23 pos'!CP$123</f>
        <v>0</v>
      </c>
      <c r="CQ118" s="43">
        <f>'Est gen ed 23 $$'!CQ118/'Est gen ed 23 pos'!CQ$123</f>
        <v>0.99999604682144683</v>
      </c>
      <c r="CR118" s="43">
        <f>'Est gen ed 23 $$'!CR118/'Est gen ed 23 pos'!CR$123</f>
        <v>0.99999604682144683</v>
      </c>
      <c r="CS118" s="43">
        <f>'Est gen ed 23 $$'!CS118/'Est gen ed 23 pos'!CS$123</f>
        <v>1.5</v>
      </c>
      <c r="CT118" s="43">
        <f>'Est gen ed 23 $$'!CT118/'Est gen ed 23 pos'!CT$123</f>
        <v>2</v>
      </c>
      <c r="CU118" s="43">
        <f>'Est gen ed 23 $$'!CU118/'Est gen ed 23 pos'!CU$123</f>
        <v>19</v>
      </c>
      <c r="CZ118" s="43">
        <f>'Est gen ed 23 $$'!CW118/'Est gen ed 23 pos'!CZ$123</f>
        <v>0</v>
      </c>
      <c r="DB118" s="28">
        <f t="shared" si="7"/>
        <v>2157746.25</v>
      </c>
      <c r="DC118" s="28">
        <f t="shared" si="4"/>
        <v>0</v>
      </c>
      <c r="DK118" s="34"/>
      <c r="DL118" s="34"/>
    </row>
    <row r="119" spans="1:137" x14ac:dyDescent="0.2">
      <c r="A119">
        <v>338</v>
      </c>
      <c r="B119" t="s">
        <v>5</v>
      </c>
      <c r="C119" t="s">
        <v>7</v>
      </c>
      <c r="D119">
        <v>4</v>
      </c>
      <c r="E119">
        <f>VLOOKUP($A119,'[1]Init $$'!$B$3:$CG$118,4,FALSE)</f>
        <v>346</v>
      </c>
      <c r="F119">
        <f>VLOOKUP($A119,'[1]Init $$'!$B$3:$CG$118,6,FALSE)</f>
        <v>273</v>
      </c>
      <c r="G119">
        <f>VLOOKUP($A119,'[2]$$xSchpostCouncilxLevel'!$A$4:$EW$120,153,FALSE)</f>
        <v>241</v>
      </c>
      <c r="H119" s="50">
        <f t="shared" si="5"/>
        <v>32</v>
      </c>
      <c r="I119" s="4">
        <f>VLOOKUP($A119,'[1]Init $$'!$B$3:$CG$118,8,FALSE)</f>
        <v>0.56069364161849711</v>
      </c>
      <c r="J119">
        <f>VLOOKUP($A119,'[1]Init $$'!$B$3:$CG$118,7,FALSE)</f>
        <v>194</v>
      </c>
      <c r="K119" s="43">
        <f>'Est gen ed 23 $$'!K119/'Est gen ed 23 pos'!K$123</f>
        <v>1</v>
      </c>
      <c r="L119" s="43">
        <f>'Est gen ed 23 $$'!L119/'Est gen ed 23 pos'!L$123</f>
        <v>0</v>
      </c>
      <c r="M119" s="43">
        <f>'Est gen ed 23 $$'!M119/'Est gen ed 23 pos'!M$123</f>
        <v>0</v>
      </c>
      <c r="N119" s="43">
        <f>'Est gen ed 23 $$'!N119/'Est gen ed 23 pos'!N$123</f>
        <v>1</v>
      </c>
      <c r="O119" s="34">
        <f>VLOOKUP($A119,'[1]Init $$'!$B$3:$CG$118,15,FALSE)</f>
        <v>5631.8</v>
      </c>
      <c r="P119" s="43">
        <f>'Est gen ed 23 $$'!P119/'Est gen ed 23 pos'!P$123</f>
        <v>1</v>
      </c>
      <c r="Q119" s="43">
        <f>'Est gen ed 23 $$'!Q119/'Est gen ed 23 pos'!Q$123</f>
        <v>1</v>
      </c>
      <c r="R119" s="43">
        <f>'Est gen ed 23 $$'!R119/'Est gen ed 23 pos'!R$123</f>
        <v>2.0000001953611113</v>
      </c>
      <c r="S119" s="43">
        <f>'Est gen ed 23 $$'!S119/'Est gen ed 23 pos'!S$123</f>
        <v>1</v>
      </c>
      <c r="T119" s="43">
        <f>'Est gen ed 23 $$'!T119/'Est gen ed 23 pos'!T$123</f>
        <v>1.9999999121515879</v>
      </c>
      <c r="U119" s="43">
        <f>'Est gen ed 23 $$'!U119/'Est gen ed 23 pos'!U$123</f>
        <v>1</v>
      </c>
      <c r="V119" s="43">
        <f>'Est gen ed 23 $$'!V119/'Est gen ed 23 pos'!V$123</f>
        <v>1.9999999121515879</v>
      </c>
      <c r="W119" s="43">
        <f>'Est gen ed 23 $$'!W119/'Est gen ed 23 pos'!W$123</f>
        <v>4.9999994893586166</v>
      </c>
      <c r="X119" s="34">
        <f>VLOOKUP($A119,'[1]Init $$'!$B$3:$CG$118,24,FALSE)</f>
        <v>130808.7</v>
      </c>
      <c r="Y119" s="34">
        <f>VLOOKUP($A119,'[1]Init $$'!$B$3:$CG$118,25,FALSE)</f>
        <v>0</v>
      </c>
      <c r="Z119" s="34">
        <f>VLOOKUP($A119,'[1]Init $$'!$B$3:$CG$118,26,FALSE)</f>
        <v>0</v>
      </c>
      <c r="AA119" s="34">
        <f>VLOOKUP($A119,'[1]Init $$'!$B$3:$CG$118,27,FALSE)</f>
        <v>0</v>
      </c>
      <c r="AB119" s="43">
        <f>'Est gen ed 23 $$'!AB119/'Est gen ed 23 pos'!AB$123</f>
        <v>0</v>
      </c>
      <c r="AC119" s="43">
        <f>'Est gen ed 23 $$'!AC119/'Est gen ed 23 pos'!AC$123</f>
        <v>0</v>
      </c>
      <c r="AD119" s="43">
        <f>'Est gen ed 23 $$'!AD119/'Est gen ed 23 pos'!AD$123</f>
        <v>0</v>
      </c>
      <c r="AE119" s="43">
        <f>'Est gen ed 23 $$'!AE119/'Est gen ed 23 pos'!AE$123</f>
        <v>0</v>
      </c>
      <c r="AF119" s="34">
        <f>VLOOKUP($A119,'[1]Init $$'!$B$3:$CG$118,32,FALSE)</f>
        <v>1630629</v>
      </c>
      <c r="AG119" s="34">
        <f>VLOOKUP($A119,'[1]Init $$'!$B$3:$CG$118,33,FALSE)</f>
        <v>112450</v>
      </c>
      <c r="AH119" s="43">
        <f>'Est gen ed 23 $$'!AH119/'Est gen ed 23 pos'!AH$123</f>
        <v>1</v>
      </c>
      <c r="AI119" s="43">
        <f>'Est gen ed 23 $$'!AI119/'Est gen ed 23 pos'!AI$123</f>
        <v>1.9999999121515879</v>
      </c>
      <c r="AJ119" s="43">
        <f>'Est gen ed 23 $$'!AJ119/'Est gen ed 23 pos'!AJ$123</f>
        <v>3.9999998243031758</v>
      </c>
      <c r="AK119" s="43">
        <f>'Est gen ed 23 $$'!AK119/'Est gen ed 23 pos'!AK$123</f>
        <v>5.9999998243031758</v>
      </c>
      <c r="AL119" s="43">
        <f>'Est gen ed 23 $$'!AL119/'Est gen ed 23 pos'!AL$123</f>
        <v>10.999998978717233</v>
      </c>
      <c r="AM119" s="43">
        <f>'Est gen ed 23 $$'!AM119/'Est gen ed 23 pos'!AM$123</f>
        <v>0</v>
      </c>
      <c r="AN119" s="43">
        <f>'Est gen ed 23 $$'!AN119/'Est gen ed 23 pos'!AN$123</f>
        <v>0</v>
      </c>
      <c r="AO119" s="43">
        <f>'Est gen ed 23 $$'!AO119/'Est gen ed 23 pos'!AO$123</f>
        <v>0</v>
      </c>
      <c r="AP119" s="34">
        <f>VLOOKUP($A119,'[1]Init $$'!$B$3:$CG$118,42,FALSE)</f>
        <v>116473.5</v>
      </c>
      <c r="AQ119" s="34">
        <f>VLOOKUP($A119,'[1]Init $$'!$B$3:$CG$118,43,FALSE)</f>
        <v>0</v>
      </c>
      <c r="AR119" s="43">
        <f>'Est gen ed 23 $$'!AR119/'Est gen ed 23 pos'!AR$123</f>
        <v>4.9999998243031758</v>
      </c>
      <c r="AS119" s="43">
        <f>'Est gen ed 23 $$'!AS119/'Est gen ed 23 pos'!AS$123</f>
        <v>0</v>
      </c>
      <c r="AT119" s="43">
        <f>'Est gen ed 23 $$'!AT119/'Est gen ed 23 pos'!AT$123</f>
        <v>0</v>
      </c>
      <c r="AU119" s="34">
        <f>VLOOKUP($A119,'[1]Init $$'!$B$3:$CG$118,47,FALSE)</f>
        <v>179190</v>
      </c>
      <c r="AV119" s="34">
        <f>VLOOKUP($A119,'[1]Init $$'!$B$3:$CG$118,48,FALSE)</f>
        <v>20400</v>
      </c>
      <c r="AW119" s="34">
        <f>VLOOKUP($A119,'[1]Init $$'!$B$3:$CG$118,49,FALSE)</f>
        <v>13600</v>
      </c>
      <c r="AX119" s="34">
        <f>VLOOKUP($A119,'[1]Init $$'!$B$3:$CG$118,50,FALSE)</f>
        <v>0</v>
      </c>
      <c r="AY119" s="34">
        <f>VLOOKUP($A119,'[1]Init $$'!$B$3:$CG$118,51,FALSE)</f>
        <v>0</v>
      </c>
      <c r="AZ119" s="34">
        <f>VLOOKUP($A119,'[1]Init $$'!$B$3:$CG$118,52,FALSE)</f>
        <v>27200</v>
      </c>
      <c r="BA119" s="34">
        <f>VLOOKUP($A119,'[1]Init $$'!$B$3:$CG$118,53,FALSE)</f>
        <v>10200</v>
      </c>
      <c r="BB119" s="34">
        <f>VLOOKUP($A119,'[1]Init $$'!$B$3:$CG$118,54,FALSE)</f>
        <v>20400</v>
      </c>
      <c r="BC119" s="34">
        <f>VLOOKUP($A119,'[1]Init $$'!$B$3:$CG$118,55,FALSE)</f>
        <v>138542.38</v>
      </c>
      <c r="BD119" s="34">
        <f>VLOOKUP($A119,'[1]Init $$'!$B$3:$CG$118,56,FALSE)</f>
        <v>2231.58</v>
      </c>
      <c r="BE119" s="34">
        <f>VLOOKUP($A119,'[1]Init $$'!$B$3:$CG$118,57,FALSE)</f>
        <v>0</v>
      </c>
      <c r="BF119" s="43">
        <f>'Est gen ed 23 $$'!BF119/'Est gen ed 23 pos'!BF$123</f>
        <v>0</v>
      </c>
      <c r="BG119" s="43">
        <f>'Est gen ed 23 $$'!BG119/'Est gen ed 23 pos'!BG$123</f>
        <v>0</v>
      </c>
      <c r="BH119" s="34">
        <f>VLOOKUP($A119,'[1]Init $$'!$B$3:$CG$118,60,FALSE)</f>
        <v>0</v>
      </c>
      <c r="BI119" s="34">
        <f>VLOOKUP($A119,'[1]Init $$'!$B$3:$CG$118,61,FALSE)</f>
        <v>0</v>
      </c>
      <c r="BJ119" s="34">
        <f>VLOOKUP($A119,'[1]Init $$'!$B$3:$CG$118,62,FALSE)</f>
        <v>0</v>
      </c>
      <c r="BK119" s="43">
        <f>'Est gen ed 23 $$'!BK119/'Est gen ed 23 pos'!BK$123</f>
        <v>0</v>
      </c>
      <c r="BL119" s="34">
        <f>VLOOKUP($A119,'[1]Init $$'!$B$3:$CG$118,64,FALSE)</f>
        <v>0</v>
      </c>
      <c r="BM119" s="43">
        <f>'Est gen ed 23 $$'!BM119/'Est gen ed 23 pos'!BM$123</f>
        <v>0</v>
      </c>
      <c r="BN119" s="34">
        <f>VLOOKUP($A119,'[1]Init $$'!$B$3:$CG$118,66,FALSE)</f>
        <v>0</v>
      </c>
      <c r="BO119" s="43">
        <f>'Est gen ed 23 $$'!BO119/'Est gen ed 23 pos'!BO$123</f>
        <v>0</v>
      </c>
      <c r="BP119" s="34">
        <f>VLOOKUP($A119,'[1]Init $$'!$B$3:$CG$118,68,FALSE)</f>
        <v>0</v>
      </c>
      <c r="BQ119" s="43">
        <f>'Est gen ed 23 $$'!BQ119/'Est gen ed 23 pos'!BQ$123</f>
        <v>0</v>
      </c>
      <c r="BR119" s="43">
        <f>'Est gen ed 23 $$'!BR119/'Est gen ed 23 pos'!BR$123</f>
        <v>0</v>
      </c>
      <c r="BS119" s="34">
        <f>VLOOKUP($A119,'[1]Init $$'!$B$3:$CG$118,71,FALSE)</f>
        <v>0</v>
      </c>
      <c r="BT119" s="34">
        <f>VLOOKUP($A119,'[1]Init $$'!$B$3:$CG$118,72,FALSE)</f>
        <v>0</v>
      </c>
      <c r="BU119" s="34">
        <f>VLOOKUP($A119,'[1]Init $$'!$B$3:$CG$118,73,FALSE)</f>
        <v>15325</v>
      </c>
      <c r="BV119" s="34">
        <f>VLOOKUP($A119,'[1]Init $$'!$B$3:$CG$118,74,FALSE)</f>
        <v>0</v>
      </c>
      <c r="BW119" s="34">
        <f>VLOOKUP($A119,'[1]Init $$'!$B$3:$CG$118,75,FALSE)</f>
        <v>0</v>
      </c>
      <c r="BX119" s="43">
        <f>'Est gen ed 23 $$'!BX119/'Est gen ed 23 pos'!BX$123</f>
        <v>0</v>
      </c>
      <c r="BY119" s="43">
        <f>'Est gen ed 23 $$'!BY119/'Est gen ed 23 pos'!BY$123</f>
        <v>0</v>
      </c>
      <c r="BZ119" s="43">
        <f>'Est gen ed 23 $$'!BZ119/'Est gen ed 23 pos'!BZ$123</f>
        <v>0</v>
      </c>
      <c r="CA119" s="34">
        <f>VLOOKUP($A119,'[1]Init $$'!$B$3:$CG$118,79,FALSE)</f>
        <v>520405.78</v>
      </c>
      <c r="CB119" s="34">
        <f>VLOOKUP($A119,'[1]Init $$'!$B$3:$CG$118,80,FALSE)</f>
        <v>66419.759999999995</v>
      </c>
      <c r="CC119" s="34">
        <f>VLOOKUP($A119,'[1]Init $$'!$B$3:$CG$118,81,FALSE)</f>
        <v>0</v>
      </c>
      <c r="CD119" s="34">
        <f>VLOOKUP($A119,'[1]Init $$'!$B$3:$CG$118,82,FALSE)</f>
        <v>43462.37</v>
      </c>
      <c r="CE119" s="34">
        <f>VLOOKUP($A119,'[1]Init $$'!$B$3:$CG$118,83,FALSE)</f>
        <v>0</v>
      </c>
      <c r="CF119" s="34">
        <f>VLOOKUP($A119,'[1]Init $$'!$B$3:$CG$118,84,FALSE)</f>
        <v>0</v>
      </c>
      <c r="CJ119" s="28">
        <f t="shared" si="6"/>
        <v>3053415.869997873</v>
      </c>
      <c r="CK119" s="43">
        <f>'Est gen ed 23 $$'!CK119/'Est gen ed 23 pos'!CK$123</f>
        <v>0.99999604682144683</v>
      </c>
      <c r="CL119" s="43">
        <f>'Est gen ed 23 $$'!CL119/'Est gen ed 23 pos'!CL$123</f>
        <v>0.86499999999999999</v>
      </c>
      <c r="CM119" s="43">
        <f>'Est gen ed 23 $$'!CM119/'Est gen ed 23 pos'!CM$123</f>
        <v>1</v>
      </c>
      <c r="CN119" s="43">
        <f>'Est gen ed 23 $$'!CN119/'Est gen ed 23 pos'!CN$123</f>
        <v>0</v>
      </c>
      <c r="CO119" s="43">
        <f>'Est gen ed 23 $$'!CO119/'Est gen ed 23 pos'!CO$123</f>
        <v>0</v>
      </c>
      <c r="CP119" s="43">
        <f>'Est gen ed 23 $$'!CP119/'Est gen ed 23 pos'!CP$123</f>
        <v>0</v>
      </c>
      <c r="CQ119" s="43">
        <f>'Est gen ed 23 $$'!CQ119/'Est gen ed 23 pos'!CQ$123</f>
        <v>0.99999604682144683</v>
      </c>
      <c r="CR119" s="43">
        <f>'Est gen ed 23 $$'!CR119/'Est gen ed 23 pos'!CR$123</f>
        <v>0.99999604682144683</v>
      </c>
      <c r="CS119" s="43">
        <f>'Est gen ed 23 $$'!CS119/'Est gen ed 23 pos'!CS$123</f>
        <v>1.4999940702321701</v>
      </c>
      <c r="CT119" s="43">
        <f>'Est gen ed 23 $$'!CT119/'Est gen ed 23 pos'!CT$123</f>
        <v>2</v>
      </c>
      <c r="CU119" s="43">
        <f>'Est gen ed 23 $$'!CU119/'Est gen ed 23 pos'!CU$123</f>
        <v>15</v>
      </c>
      <c r="CZ119" s="43">
        <f>'Est gen ed 23 $$'!CW119/'Est gen ed 23 pos'!CZ$123</f>
        <v>0</v>
      </c>
      <c r="DB119" s="28">
        <f t="shared" si="7"/>
        <v>1630629</v>
      </c>
      <c r="DC119" s="28">
        <f t="shared" si="4"/>
        <v>43462.37</v>
      </c>
      <c r="DK119" s="34"/>
      <c r="DL119" s="34"/>
    </row>
    <row r="120" spans="1:137" x14ac:dyDescent="0.2">
      <c r="A120">
        <v>463</v>
      </c>
      <c r="B120" t="s">
        <v>3</v>
      </c>
      <c r="C120" t="s">
        <v>1</v>
      </c>
      <c r="D120">
        <v>3</v>
      </c>
      <c r="E120">
        <f>VLOOKUP($A120,'[1]Init $$'!$B$3:$CG$118,4,FALSE)</f>
        <v>2128</v>
      </c>
      <c r="F120">
        <f>VLOOKUP($A120,'[1]Init $$'!$B$3:$CG$118,6,FALSE)</f>
        <v>2128</v>
      </c>
      <c r="G120">
        <f>VLOOKUP($A120,'[2]$$xSchpostCouncilxLevel'!$A$4:$EW$120,153,FALSE)</f>
        <v>2010</v>
      </c>
      <c r="H120" s="50">
        <f t="shared" si="5"/>
        <v>118</v>
      </c>
      <c r="I120" s="4">
        <f>VLOOKUP($A120,'[1]Init $$'!$B$3:$CG$118,8,FALSE)</f>
        <v>0.25375939849624063</v>
      </c>
      <c r="J120">
        <f>VLOOKUP($A120,'[1]Init $$'!$B$3:$CG$118,7,FALSE)</f>
        <v>540</v>
      </c>
      <c r="K120" s="43">
        <f>'Est gen ed 23 $$'!K120/'Est gen ed 23 pos'!K$123</f>
        <v>1</v>
      </c>
      <c r="L120" s="43">
        <f>'Est gen ed 23 $$'!L120/'Est gen ed 23 pos'!L$123</f>
        <v>0</v>
      </c>
      <c r="M120" s="43">
        <f>'Est gen ed 23 $$'!M120/'Est gen ed 23 pos'!M$123</f>
        <v>8.9999951722795402</v>
      </c>
      <c r="N120" s="43">
        <f>'Est gen ed 23 $$'!N120/'Est gen ed 23 pos'!N$123</f>
        <v>1</v>
      </c>
      <c r="O120" s="34">
        <f>VLOOKUP($A120,'[1]Init $$'!$B$3:$CG$118,15,FALSE)</f>
        <v>31160.97</v>
      </c>
      <c r="P120" s="43">
        <f>'Est gen ed 23 $$'!P120/'Est gen ed 23 pos'!P$123</f>
        <v>1</v>
      </c>
      <c r="Q120" s="43">
        <f>'Est gen ed 23 $$'!Q120/'Est gen ed 23 pos'!Q$123</f>
        <v>1</v>
      </c>
      <c r="R120" s="43">
        <f>'Est gen ed 23 $$'!R120/'Est gen ed 23 pos'!R$123</f>
        <v>12.000000976805557</v>
      </c>
      <c r="S120" s="43">
        <f>'Est gen ed 23 $$'!S120/'Est gen ed 23 pos'!S$123</f>
        <v>1</v>
      </c>
      <c r="T120" s="43">
        <f>'Est gen ed 23 $$'!T120/'Est gen ed 23 pos'!T$123</f>
        <v>0</v>
      </c>
      <c r="U120" s="43">
        <f>'Est gen ed 23 $$'!U120/'Est gen ed 23 pos'!U$123</f>
        <v>0</v>
      </c>
      <c r="V120" s="43">
        <f>'Est gen ed 23 $$'!V120/'Est gen ed 23 pos'!V$123</f>
        <v>0</v>
      </c>
      <c r="W120" s="43">
        <f>'Est gen ed 23 $$'!W120/'Est gen ed 23 pos'!W$123</f>
        <v>0</v>
      </c>
      <c r="X120" s="34">
        <f>VLOOKUP($A120,'[1]Init $$'!$B$3:$CG$118,24,FALSE)</f>
        <v>0</v>
      </c>
      <c r="Y120" s="34">
        <f>VLOOKUP($A120,'[1]Init $$'!$B$3:$CG$118,25,FALSE)</f>
        <v>0</v>
      </c>
      <c r="Z120" s="34">
        <f>VLOOKUP($A120,'[1]Init $$'!$B$3:$CG$118,26,FALSE)</f>
        <v>0</v>
      </c>
      <c r="AA120" s="34">
        <f>VLOOKUP($A120,'[1]Init $$'!$B$3:$CG$118,27,FALSE)</f>
        <v>0</v>
      </c>
      <c r="AB120" s="43">
        <f>'Est gen ed 23 $$'!AB120/'Est gen ed 23 pos'!AB$123</f>
        <v>8.9999997364547628</v>
      </c>
      <c r="AC120" s="43">
        <f>'Est gen ed 23 $$'!AC120/'Est gen ed 23 pos'!AC$123</f>
        <v>0</v>
      </c>
      <c r="AD120" s="43">
        <f>'Est gen ed 23 $$'!AD120/'Est gen ed 23 pos'!AD$123</f>
        <v>0</v>
      </c>
      <c r="AE120" s="43">
        <f>'Est gen ed 23 $$'!AE120/'Est gen ed 23 pos'!AE$123</f>
        <v>2.9999999121515879</v>
      </c>
      <c r="AF120" s="34">
        <f>VLOOKUP($A120,'[1]Init $$'!$B$3:$CG$118,32,FALSE)</f>
        <v>12710544</v>
      </c>
      <c r="AG120" s="34">
        <f>VLOOKUP($A120,'[1]Init $$'!$B$3:$CG$118,33,FALSE)</f>
        <v>1261904</v>
      </c>
      <c r="AH120" s="43">
        <f>'Est gen ed 23 $$'!AH120/'Est gen ed 23 pos'!AH$123</f>
        <v>1.9999999121515879</v>
      </c>
      <c r="AI120" s="43">
        <f>'Est gen ed 23 $$'!AI120/'Est gen ed 23 pos'!AI$123</f>
        <v>4.9999998243031758</v>
      </c>
      <c r="AJ120" s="43">
        <f>'Est gen ed 23 $$'!AJ120/'Est gen ed 23 pos'!AJ$123</f>
        <v>17.999999385061116</v>
      </c>
      <c r="AK120" s="43">
        <f>'Est gen ed 23 $$'!AK120/'Est gen ed 23 pos'!AK$123</f>
        <v>6.9999997364547637</v>
      </c>
      <c r="AL120" s="43">
        <f>'Est gen ed 23 $$'!AL120/'Est gen ed 23 pos'!AL$123</f>
        <v>9.9999992340379258</v>
      </c>
      <c r="AM120" s="43">
        <f>'Est gen ed 23 $$'!AM120/'Est gen ed 23 pos'!AM$123</f>
        <v>0</v>
      </c>
      <c r="AN120" s="43">
        <f>'Est gen ed 23 $$'!AN120/'Est gen ed 23 pos'!AN$123</f>
        <v>1.0000010424267696</v>
      </c>
      <c r="AO120" s="43">
        <f>'Est gen ed 23 $$'!AO120/'Est gen ed 23 pos'!AO$123</f>
        <v>0</v>
      </c>
      <c r="AP120" s="34">
        <f>VLOOKUP($A120,'[1]Init $$'!$B$3:$CG$118,42,FALSE)</f>
        <v>426472.2</v>
      </c>
      <c r="AQ120" s="34">
        <f>VLOOKUP($A120,'[1]Init $$'!$B$3:$CG$118,43,FALSE)</f>
        <v>0</v>
      </c>
      <c r="AR120" s="43">
        <f>'Est gen ed 23 $$'!AR120/'Est gen ed 23 pos'!AR$123</f>
        <v>7.9999997364547628</v>
      </c>
      <c r="AS120" s="43">
        <f>'Est gen ed 23 $$'!AS120/'Est gen ed 23 pos'!AS$123</f>
        <v>0</v>
      </c>
      <c r="AT120" s="43">
        <f>'Est gen ed 23 $$'!AT120/'Est gen ed 23 pos'!AT$123</f>
        <v>0</v>
      </c>
      <c r="AU120" s="34">
        <f>VLOOKUP($A120,'[1]Init $$'!$B$3:$CG$118,47,FALSE)</f>
        <v>311790.59999999998</v>
      </c>
      <c r="AV120" s="34">
        <f>VLOOKUP($A120,'[1]Init $$'!$B$3:$CG$118,48,FALSE)</f>
        <v>0</v>
      </c>
      <c r="AW120" s="34">
        <f>VLOOKUP($A120,'[1]Init $$'!$B$3:$CG$118,49,FALSE)</f>
        <v>0</v>
      </c>
      <c r="AX120" s="34">
        <f>VLOOKUP($A120,'[1]Init $$'!$B$3:$CG$118,50,FALSE)</f>
        <v>0</v>
      </c>
      <c r="AY120" s="34">
        <f>VLOOKUP($A120,'[1]Init $$'!$B$3:$CG$118,51,FALSE)</f>
        <v>85000</v>
      </c>
      <c r="AZ120" s="34">
        <f>VLOOKUP($A120,'[1]Init $$'!$B$3:$CG$118,52,FALSE)</f>
        <v>0</v>
      </c>
      <c r="BA120" s="34">
        <f>VLOOKUP($A120,'[1]Init $$'!$B$3:$CG$118,53,FALSE)</f>
        <v>0</v>
      </c>
      <c r="BB120" s="34">
        <f>VLOOKUP($A120,'[1]Init $$'!$B$3:$CG$118,54,FALSE)</f>
        <v>0</v>
      </c>
      <c r="BC120" s="34">
        <f>VLOOKUP($A120,'[1]Init $$'!$B$3:$CG$118,55,FALSE)</f>
        <v>0</v>
      </c>
      <c r="BD120" s="34">
        <f>VLOOKUP($A120,'[1]Init $$'!$B$3:$CG$118,56,FALSE)</f>
        <v>0</v>
      </c>
      <c r="BE120" s="34">
        <f>VLOOKUP($A120,'[1]Init $$'!$B$3:$CG$118,57,FALSE)</f>
        <v>53200</v>
      </c>
      <c r="BF120" s="43">
        <f>'Est gen ed 23 $$'!BF120/'Est gen ed 23 pos'!BF$123</f>
        <v>0</v>
      </c>
      <c r="BG120" s="43">
        <f>'Est gen ed 23 $$'!BG120/'Est gen ed 23 pos'!BG$123</f>
        <v>0</v>
      </c>
      <c r="BH120" s="34">
        <f>VLOOKUP($A120,'[1]Init $$'!$B$3:$CG$118,60,FALSE)</f>
        <v>0</v>
      </c>
      <c r="BI120" s="34">
        <f>VLOOKUP($A120,'[1]Init $$'!$B$3:$CG$118,61,FALSE)</f>
        <v>0</v>
      </c>
      <c r="BJ120" s="34">
        <f>VLOOKUP($A120,'[1]Init $$'!$B$3:$CG$118,62,FALSE)</f>
        <v>0</v>
      </c>
      <c r="BK120" s="43">
        <f>'Est gen ed 23 $$'!BK120/'Est gen ed 23 pos'!BK$123</f>
        <v>0</v>
      </c>
      <c r="BL120" s="34">
        <f>VLOOKUP($A120,'[1]Init $$'!$B$3:$CG$118,64,FALSE)</f>
        <v>0</v>
      </c>
      <c r="BM120" s="43">
        <f>'Est gen ed 23 $$'!BM120/'Est gen ed 23 pos'!BM$123</f>
        <v>0</v>
      </c>
      <c r="BN120" s="34">
        <f>VLOOKUP($A120,'[1]Init $$'!$B$3:$CG$118,66,FALSE)</f>
        <v>0</v>
      </c>
      <c r="BO120" s="43">
        <f>'Est gen ed 23 $$'!BO120/'Est gen ed 23 pos'!BO$123</f>
        <v>0</v>
      </c>
      <c r="BP120" s="34">
        <f>VLOOKUP($A120,'[1]Init $$'!$B$3:$CG$118,68,FALSE)</f>
        <v>0</v>
      </c>
      <c r="BQ120" s="43">
        <f>'Est gen ed 23 $$'!BQ120/'Est gen ed 23 pos'!BQ$123</f>
        <v>0</v>
      </c>
      <c r="BR120" s="43">
        <f>'Est gen ed 23 $$'!BR120/'Est gen ed 23 pos'!BR$123</f>
        <v>0</v>
      </c>
      <c r="BS120" s="34">
        <f>VLOOKUP($A120,'[1]Init $$'!$B$3:$CG$118,71,FALSE)</f>
        <v>0</v>
      </c>
      <c r="BT120" s="34">
        <f>VLOOKUP($A120,'[1]Init $$'!$B$3:$CG$118,72,FALSE)</f>
        <v>0</v>
      </c>
      <c r="BU120" s="34">
        <f>VLOOKUP($A120,'[1]Init $$'!$B$3:$CG$118,73,FALSE)</f>
        <v>0</v>
      </c>
      <c r="BV120" s="34">
        <f>VLOOKUP($A120,'[1]Init $$'!$B$3:$CG$118,74,FALSE)</f>
        <v>0</v>
      </c>
      <c r="BW120" s="34">
        <f>VLOOKUP($A120,'[1]Init $$'!$B$3:$CG$118,75,FALSE)</f>
        <v>132208</v>
      </c>
      <c r="BX120" s="43">
        <f>'Est gen ed 23 $$'!BX120/'Est gen ed 23 pos'!BX$123</f>
        <v>1.0000041250219776</v>
      </c>
      <c r="BY120" s="43">
        <f>'Est gen ed 23 $$'!BY120/'Est gen ed 23 pos'!BY$123</f>
        <v>1</v>
      </c>
      <c r="BZ120" s="43">
        <f>'Est gen ed 23 $$'!BZ120/'Est gen ed 23 pos'!BZ$123</f>
        <v>0</v>
      </c>
      <c r="CA120" s="34">
        <f>VLOOKUP($A120,'[1]Init $$'!$B$3:$CG$118,79,FALSE)</f>
        <v>1710096.3</v>
      </c>
      <c r="CB120" s="34">
        <f>VLOOKUP($A120,'[1]Init $$'!$B$3:$CG$118,80,FALSE)</f>
        <v>0</v>
      </c>
      <c r="CC120" s="34">
        <f>VLOOKUP($A120,'[1]Init $$'!$B$3:$CG$118,81,FALSE)</f>
        <v>0</v>
      </c>
      <c r="CD120" s="34">
        <f>VLOOKUP($A120,'[1]Init $$'!$B$3:$CG$118,82,FALSE)</f>
        <v>0</v>
      </c>
      <c r="CE120" s="34">
        <f>VLOOKUP($A120,'[1]Init $$'!$B$3:$CG$118,83,FALSE)</f>
        <v>0</v>
      </c>
      <c r="CF120" s="34">
        <f>VLOOKUP($A120,'[1]Init $$'!$B$3:$CG$118,84,FALSE)</f>
        <v>0</v>
      </c>
      <c r="CJ120" s="28">
        <f t="shared" si="6"/>
        <v>16722467.069998799</v>
      </c>
      <c r="CK120" s="43">
        <f>'Est gen ed 23 $$'!CK120/'Est gen ed 23 pos'!CK$123</f>
        <v>0.99999604682144683</v>
      </c>
      <c r="CL120" s="43">
        <f>'Est gen ed 23 $$'!CL120/'Est gen ed 23 pos'!CL$123</f>
        <v>7.0933333333333337</v>
      </c>
      <c r="CM120" s="43">
        <f>'Est gen ed 23 $$'!CM120/'Est gen ed 23 pos'!CM$123</f>
        <v>1</v>
      </c>
      <c r="CN120" s="43">
        <f>'Est gen ed 23 $$'!CN120/'Est gen ed 23 pos'!CN$123</f>
        <v>0.18796992481203006</v>
      </c>
      <c r="CO120" s="43">
        <f>'Est gen ed 23 $$'!CO120/'Est gen ed 23 pos'!CO$123</f>
        <v>1</v>
      </c>
      <c r="CP120" s="43">
        <f>'Est gen ed 23 $$'!CP120/'Est gen ed 23 pos'!CP$123</f>
        <v>1</v>
      </c>
      <c r="CQ120" s="43">
        <f>'Est gen ed 23 $$'!CQ120/'Est gen ed 23 pos'!CQ$123</f>
        <v>0</v>
      </c>
      <c r="CR120" s="43">
        <f>'Est gen ed 23 $$'!CR120/'Est gen ed 23 pos'!CR$123</f>
        <v>0</v>
      </c>
      <c r="CS120" s="43">
        <f>'Est gen ed 23 $$'!CS120/'Est gen ed 23 pos'!CS$123</f>
        <v>0</v>
      </c>
      <c r="CT120" s="43">
        <f>'Est gen ed 23 $$'!CT120/'Est gen ed 23 pos'!CT$123</f>
        <v>0</v>
      </c>
      <c r="CU120" s="43">
        <f>'Est gen ed 23 $$'!CU120/'Est gen ed 23 pos'!CU$123</f>
        <v>107</v>
      </c>
      <c r="CZ120" s="43">
        <f>'Est gen ed 23 $$'!CW120/'Est gen ed 23 pos'!CZ$123</f>
        <v>0.9999965685612755</v>
      </c>
      <c r="DB120" s="28">
        <f t="shared" si="7"/>
        <v>12710544</v>
      </c>
      <c r="DC120" s="28">
        <f t="shared" si="4"/>
        <v>0</v>
      </c>
      <c r="DK120" s="34"/>
      <c r="DL120" s="34"/>
    </row>
    <row r="121" spans="1:137" x14ac:dyDescent="0.2">
      <c r="A121">
        <v>464</v>
      </c>
      <c r="B121" t="s">
        <v>2</v>
      </c>
      <c r="C121" t="s">
        <v>1</v>
      </c>
      <c r="D121">
        <v>7</v>
      </c>
      <c r="E121">
        <f>VLOOKUP($A121,'[1]Init $$'!$B$3:$CG$118,4,FALSE)</f>
        <v>506</v>
      </c>
      <c r="F121">
        <f>VLOOKUP($A121,'[1]Init $$'!$B$3:$CG$118,6,FALSE)</f>
        <v>506</v>
      </c>
      <c r="G121">
        <f>VLOOKUP($A121,'[2]$$xSchpostCouncilxLevel'!$A$4:$EW$120,153,FALSE)</f>
        <v>487</v>
      </c>
      <c r="H121" s="50">
        <f t="shared" si="5"/>
        <v>19</v>
      </c>
      <c r="I121" s="4">
        <f>VLOOKUP($A121,'[1]Init $$'!$B$3:$CG$118,8,FALSE)</f>
        <v>0.73320158102766797</v>
      </c>
      <c r="J121">
        <f>VLOOKUP($A121,'[1]Init $$'!$B$3:$CG$118,7,FALSE)</f>
        <v>371</v>
      </c>
      <c r="K121" s="43">
        <f>'Est gen ed 23 $$'!K121/'Est gen ed 23 pos'!K$123</f>
        <v>1</v>
      </c>
      <c r="L121" s="43">
        <f>'Est gen ed 23 $$'!L121/'Est gen ed 23 pos'!L$123</f>
        <v>0</v>
      </c>
      <c r="M121" s="43">
        <f>'Est gen ed 23 $$'!M121/'Est gen ed 23 pos'!M$123</f>
        <v>2.4999986762701969</v>
      </c>
      <c r="N121" s="43">
        <f>'Est gen ed 23 $$'!N121/'Est gen ed 23 pos'!N$123</f>
        <v>1</v>
      </c>
      <c r="O121" s="34">
        <f>VLOOKUP($A121,'[1]Init $$'!$B$3:$CG$118,15,FALSE)</f>
        <v>22922.81</v>
      </c>
      <c r="P121" s="43">
        <f>'Est gen ed 23 $$'!P121/'Est gen ed 23 pos'!P$123</f>
        <v>1</v>
      </c>
      <c r="Q121" s="43">
        <f>'Est gen ed 23 $$'!Q121/'Est gen ed 23 pos'!Q$123</f>
        <v>1</v>
      </c>
      <c r="R121" s="43">
        <f>'Est gen ed 23 $$'!R121/'Est gen ed 23 pos'!R$123</f>
        <v>7.000000586083333</v>
      </c>
      <c r="S121" s="43">
        <f>'Est gen ed 23 $$'!S121/'Est gen ed 23 pos'!S$123</f>
        <v>1</v>
      </c>
      <c r="T121" s="43">
        <f>'Est gen ed 23 $$'!T121/'Est gen ed 23 pos'!T$123</f>
        <v>0</v>
      </c>
      <c r="U121" s="43">
        <f>'Est gen ed 23 $$'!U121/'Est gen ed 23 pos'!U$123</f>
        <v>0</v>
      </c>
      <c r="V121" s="43">
        <f>'Est gen ed 23 $$'!V121/'Est gen ed 23 pos'!V$123</f>
        <v>0</v>
      </c>
      <c r="W121" s="43">
        <f>'Est gen ed 23 $$'!W121/'Est gen ed 23 pos'!W$123</f>
        <v>0</v>
      </c>
      <c r="X121" s="34">
        <f>VLOOKUP($A121,'[1]Init $$'!$B$3:$CG$118,24,FALSE)</f>
        <v>0</v>
      </c>
      <c r="Y121" s="34">
        <f>VLOOKUP($A121,'[1]Init $$'!$B$3:$CG$118,25,FALSE)</f>
        <v>0</v>
      </c>
      <c r="Z121" s="34">
        <f>VLOOKUP($A121,'[1]Init $$'!$B$3:$CG$118,26,FALSE)</f>
        <v>0</v>
      </c>
      <c r="AA121" s="34">
        <f>VLOOKUP($A121,'[1]Init $$'!$B$3:$CG$118,27,FALSE)</f>
        <v>0</v>
      </c>
      <c r="AB121" s="43">
        <f>'Est gen ed 23 $$'!AB121/'Est gen ed 23 pos'!AB$123</f>
        <v>4.9999998243031758</v>
      </c>
      <c r="AC121" s="43">
        <f>'Est gen ed 23 $$'!AC121/'Est gen ed 23 pos'!AC$123</f>
        <v>0</v>
      </c>
      <c r="AD121" s="43">
        <f>'Est gen ed 23 $$'!AD121/'Est gen ed 23 pos'!AD$123</f>
        <v>1</v>
      </c>
      <c r="AE121" s="43">
        <f>'Est gen ed 23 $$'!AE121/'Est gen ed 23 pos'!AE$123</f>
        <v>1</v>
      </c>
      <c r="AF121" s="34">
        <f>VLOOKUP($A121,'[1]Init $$'!$B$3:$CG$118,32,FALSE)</f>
        <v>3022338</v>
      </c>
      <c r="AG121" s="34">
        <f>VLOOKUP($A121,'[1]Init $$'!$B$3:$CG$118,33,FALSE)</f>
        <v>300058</v>
      </c>
      <c r="AH121" s="43">
        <f>'Est gen ed 23 $$'!AH121/'Est gen ed 23 pos'!AH$123</f>
        <v>1.9999999121515879</v>
      </c>
      <c r="AI121" s="43">
        <f>'Est gen ed 23 $$'!AI121/'Est gen ed 23 pos'!AI$123</f>
        <v>3.9999998243031758</v>
      </c>
      <c r="AJ121" s="43">
        <f>'Est gen ed 23 $$'!AJ121/'Est gen ed 23 pos'!AJ$123</f>
        <v>7.9999997364547628</v>
      </c>
      <c r="AK121" s="43">
        <f>'Est gen ed 23 $$'!AK121/'Est gen ed 23 pos'!AK$123</f>
        <v>8.9999997364547628</v>
      </c>
      <c r="AL121" s="43">
        <f>'Est gen ed 23 $$'!AL121/'Est gen ed 23 pos'!AL$123</f>
        <v>10.999998978717233</v>
      </c>
      <c r="AM121" s="43">
        <f>'Est gen ed 23 $$'!AM121/'Est gen ed 23 pos'!AM$123</f>
        <v>0</v>
      </c>
      <c r="AN121" s="43">
        <f>'Est gen ed 23 $$'!AN121/'Est gen ed 23 pos'!AN$123</f>
        <v>2.0000019111157443</v>
      </c>
      <c r="AO121" s="43">
        <f>'Est gen ed 23 $$'!AO121/'Est gen ed 23 pos'!AO$123</f>
        <v>0</v>
      </c>
      <c r="AP121" s="34">
        <f>VLOOKUP($A121,'[1]Init $$'!$B$3:$CG$118,42,FALSE)</f>
        <v>234738.9</v>
      </c>
      <c r="AQ121" s="34">
        <f>VLOOKUP($A121,'[1]Init $$'!$B$3:$CG$118,43,FALSE)</f>
        <v>0</v>
      </c>
      <c r="AR121" s="43">
        <f>'Est gen ed 23 $$'!AR121/'Est gen ed 23 pos'!AR$123</f>
        <v>1</v>
      </c>
      <c r="AS121" s="43">
        <f>'Est gen ed 23 $$'!AS121/'Est gen ed 23 pos'!AS$123</f>
        <v>0</v>
      </c>
      <c r="AT121" s="43">
        <f>'Est gen ed 23 $$'!AT121/'Est gen ed 23 pos'!AT$123</f>
        <v>0</v>
      </c>
      <c r="AU121" s="34">
        <f>VLOOKUP($A121,'[1]Init $$'!$B$3:$CG$118,47,FALSE)</f>
        <v>19710.900000000001</v>
      </c>
      <c r="AV121" s="34">
        <f>VLOOKUP($A121,'[1]Init $$'!$B$3:$CG$118,48,FALSE)</f>
        <v>0</v>
      </c>
      <c r="AW121" s="34">
        <f>VLOOKUP($A121,'[1]Init $$'!$B$3:$CG$118,49,FALSE)</f>
        <v>0</v>
      </c>
      <c r="AX121" s="34">
        <f>VLOOKUP($A121,'[1]Init $$'!$B$3:$CG$118,50,FALSE)</f>
        <v>0</v>
      </c>
      <c r="AY121" s="34">
        <f>VLOOKUP($A121,'[1]Init $$'!$B$3:$CG$118,51,FALSE)</f>
        <v>60000</v>
      </c>
      <c r="AZ121" s="34">
        <f>VLOOKUP($A121,'[1]Init $$'!$B$3:$CG$118,52,FALSE)</f>
        <v>0</v>
      </c>
      <c r="BA121" s="34">
        <f>VLOOKUP($A121,'[1]Init $$'!$B$3:$CG$118,53,FALSE)</f>
        <v>0</v>
      </c>
      <c r="BB121" s="34">
        <f>VLOOKUP($A121,'[1]Init $$'!$B$3:$CG$118,54,FALSE)</f>
        <v>0</v>
      </c>
      <c r="BC121" s="34">
        <f>VLOOKUP($A121,'[1]Init $$'!$B$3:$CG$118,55,FALSE)</f>
        <v>270157.64</v>
      </c>
      <c r="BD121" s="34">
        <f>VLOOKUP($A121,'[1]Init $$'!$B$3:$CG$118,56,FALSE)</f>
        <v>4351.57</v>
      </c>
      <c r="BE121" s="34">
        <f>VLOOKUP($A121,'[1]Init $$'!$B$3:$CG$118,57,FALSE)</f>
        <v>0</v>
      </c>
      <c r="BF121" s="43">
        <f>'Est gen ed 23 $$'!BF121/'Est gen ed 23 pos'!BF$123</f>
        <v>0</v>
      </c>
      <c r="BG121" s="43">
        <f>'Est gen ed 23 $$'!BG121/'Est gen ed 23 pos'!BG$123</f>
        <v>0.99999886478304745</v>
      </c>
      <c r="BH121" s="34">
        <f>VLOOKUP($A121,'[1]Init $$'!$B$3:$CG$118,60,FALSE)</f>
        <v>26216.09</v>
      </c>
      <c r="BI121" s="34">
        <f>VLOOKUP($A121,'[1]Init $$'!$B$3:$CG$118,61,FALSE)</f>
        <v>9000</v>
      </c>
      <c r="BJ121" s="34">
        <f>VLOOKUP($A121,'[1]Init $$'!$B$3:$CG$118,62,FALSE)</f>
        <v>17200</v>
      </c>
      <c r="BK121" s="43">
        <f>'Est gen ed 23 $$'!BK121/'Est gen ed 23 pos'!BK$123</f>
        <v>0</v>
      </c>
      <c r="BL121" s="34">
        <f>VLOOKUP($A121,'[1]Init $$'!$B$3:$CG$118,64,FALSE)</f>
        <v>0</v>
      </c>
      <c r="BM121" s="43">
        <f>'Est gen ed 23 $$'!BM121/'Est gen ed 23 pos'!BM$123</f>
        <v>0</v>
      </c>
      <c r="BN121" s="34">
        <f>VLOOKUP($A121,'[1]Init $$'!$B$3:$CG$118,66,FALSE)</f>
        <v>0</v>
      </c>
      <c r="BO121" s="43">
        <f>'Est gen ed 23 $$'!BO121/'Est gen ed 23 pos'!BO$123</f>
        <v>0</v>
      </c>
      <c r="BP121" s="34">
        <f>VLOOKUP($A121,'[1]Init $$'!$B$3:$CG$118,68,FALSE)</f>
        <v>0</v>
      </c>
      <c r="BQ121" s="43">
        <f>'Est gen ed 23 $$'!BQ121/'Est gen ed 23 pos'!BQ$123</f>
        <v>1</v>
      </c>
      <c r="BR121" s="43">
        <f>'Est gen ed 23 $$'!BR121/'Est gen ed 23 pos'!BR$123</f>
        <v>0</v>
      </c>
      <c r="BS121" s="34">
        <f>VLOOKUP($A121,'[1]Init $$'!$B$3:$CG$118,71,FALSE)</f>
        <v>140941</v>
      </c>
      <c r="BT121" s="34">
        <f>VLOOKUP($A121,'[1]Init $$'!$B$3:$CG$118,72,FALSE)</f>
        <v>5000</v>
      </c>
      <c r="BU121" s="34">
        <f>VLOOKUP($A121,'[1]Init $$'!$B$3:$CG$118,73,FALSE)</f>
        <v>0</v>
      </c>
      <c r="BV121" s="34">
        <f>VLOOKUP($A121,'[1]Init $$'!$B$3:$CG$118,74,FALSE)</f>
        <v>0</v>
      </c>
      <c r="BW121" s="34">
        <f>VLOOKUP($A121,'[1]Init $$'!$B$3:$CG$118,75,FALSE)</f>
        <v>0</v>
      </c>
      <c r="BX121" s="43">
        <f>'Est gen ed 23 $$'!BX121/'Est gen ed 23 pos'!BX$123</f>
        <v>3.0000123074426215</v>
      </c>
      <c r="BY121" s="43">
        <f>'Est gen ed 23 $$'!BY121/'Est gen ed 23 pos'!BY$123</f>
        <v>2</v>
      </c>
      <c r="BZ121" s="43">
        <f>'Est gen ed 23 $$'!BZ121/'Est gen ed 23 pos'!BZ$123</f>
        <v>0</v>
      </c>
      <c r="CA121" s="34">
        <f>VLOOKUP($A121,'[1]Init $$'!$B$3:$CG$118,79,FALSE)</f>
        <v>1109215.3999999999</v>
      </c>
      <c r="CB121" s="34">
        <f>VLOOKUP($A121,'[1]Init $$'!$B$3:$CG$118,80,FALSE)</f>
        <v>221478.84</v>
      </c>
      <c r="CC121" s="34">
        <f>VLOOKUP($A121,'[1]Init $$'!$B$3:$CG$118,81,FALSE)</f>
        <v>0</v>
      </c>
      <c r="CD121" s="34">
        <f>VLOOKUP($A121,'[1]Init $$'!$B$3:$CG$118,82,FALSE)</f>
        <v>0</v>
      </c>
      <c r="CE121" s="34">
        <f>VLOOKUP($A121,'[1]Init $$'!$B$3:$CG$118,83,FALSE)</f>
        <v>0</v>
      </c>
      <c r="CF121" s="34">
        <f>VLOOKUP($A121,'[1]Init $$'!$B$3:$CG$118,84,FALSE)</f>
        <v>0</v>
      </c>
      <c r="CJ121" s="28">
        <f t="shared" si="6"/>
        <v>5463394.6500103567</v>
      </c>
      <c r="CK121" s="43">
        <f>'Est gen ed 23 $$'!CK121/'Est gen ed 23 pos'!CK$123</f>
        <v>0.99999604682144683</v>
      </c>
      <c r="CL121" s="43">
        <f>'Est gen ed 23 $$'!CL121/'Est gen ed 23 pos'!CL$123</f>
        <v>1.6866666666666668</v>
      </c>
      <c r="CM121" s="43">
        <f>'Est gen ed 23 $$'!CM121/'Est gen ed 23 pos'!CM$123</f>
        <v>1</v>
      </c>
      <c r="CN121" s="43">
        <f>'Est gen ed 23 $$'!CN121/'Est gen ed 23 pos'!CN$123</f>
        <v>0.79051383399209485</v>
      </c>
      <c r="CO121" s="43">
        <f>'Est gen ed 23 $$'!CO121/'Est gen ed 23 pos'!CO$123</f>
        <v>1</v>
      </c>
      <c r="CP121" s="43">
        <f>'Est gen ed 23 $$'!CP121/'Est gen ed 23 pos'!CP$123</f>
        <v>1</v>
      </c>
      <c r="CQ121" s="43">
        <f>'Est gen ed 23 $$'!CQ121/'Est gen ed 23 pos'!CQ$123</f>
        <v>0</v>
      </c>
      <c r="CR121" s="43">
        <f>'Est gen ed 23 $$'!CR121/'Est gen ed 23 pos'!CR$123</f>
        <v>0</v>
      </c>
      <c r="CS121" s="43">
        <f>'Est gen ed 23 $$'!CS121/'Est gen ed 23 pos'!CS$123</f>
        <v>0</v>
      </c>
      <c r="CT121" s="43">
        <f>'Est gen ed 23 $$'!CT121/'Est gen ed 23 pos'!CT$123</f>
        <v>0</v>
      </c>
      <c r="CU121" s="43">
        <f>'Est gen ed 23 $$'!CU121/'Est gen ed 23 pos'!CU$123</f>
        <v>30</v>
      </c>
      <c r="CZ121" s="43">
        <f>'Est gen ed 23 $$'!CW121/'Est gen ed 23 pos'!CZ$123</f>
        <v>0.9999965685612755</v>
      </c>
      <c r="DB121" s="28">
        <f t="shared" si="7"/>
        <v>3022338</v>
      </c>
      <c r="DC121" s="28">
        <f t="shared" si="4"/>
        <v>0</v>
      </c>
      <c r="DK121" s="34"/>
      <c r="DL121" s="34"/>
    </row>
    <row r="122" spans="1:137" x14ac:dyDescent="0.2">
      <c r="B122" t="s">
        <v>0</v>
      </c>
      <c r="E122" s="1">
        <f>SUM(E6:E121)</f>
        <v>50499</v>
      </c>
      <c r="F122" s="1">
        <f t="shared" ref="F122:G122" si="8">SUM(F6:F121)</f>
        <v>44666</v>
      </c>
      <c r="G122" s="1">
        <f t="shared" si="8"/>
        <v>45407</v>
      </c>
      <c r="H122" s="50">
        <f t="shared" si="5"/>
        <v>-741</v>
      </c>
      <c r="I122" s="1"/>
      <c r="J122" s="1">
        <f t="shared" ref="J122" si="9">SUM(J6:J121)</f>
        <v>23707</v>
      </c>
      <c r="K122" s="43">
        <f>SUM(K6:K121)</f>
        <v>113</v>
      </c>
      <c r="L122" s="43">
        <f t="shared" ref="L122:AL122" si="10">SUM(L6:L121)</f>
        <v>26.499999253288493</v>
      </c>
      <c r="M122" s="43">
        <f t="shared" si="10"/>
        <v>55.499970255012649</v>
      </c>
      <c r="N122" s="43">
        <f t="shared" si="10"/>
        <v>116</v>
      </c>
      <c r="O122" s="28">
        <f t="shared" si="10"/>
        <v>1070685.5300000003</v>
      </c>
      <c r="P122" s="43">
        <f t="shared" si="10"/>
        <v>117</v>
      </c>
      <c r="Q122" s="43">
        <f t="shared" si="10"/>
        <v>116</v>
      </c>
      <c r="R122" s="43">
        <f t="shared" si="10"/>
        <v>349.00002754591657</v>
      </c>
      <c r="S122" s="43">
        <f t="shared" si="10"/>
        <v>117.99999982430319</v>
      </c>
      <c r="T122" s="43">
        <f t="shared" si="10"/>
        <v>135.99999499264064</v>
      </c>
      <c r="U122" s="43">
        <f t="shared" si="10"/>
        <v>78.999997891638102</v>
      </c>
      <c r="V122" s="43">
        <f t="shared" si="10"/>
        <v>164.99999402630817</v>
      </c>
      <c r="W122" s="43">
        <f t="shared" si="10"/>
        <v>379.99996680831055</v>
      </c>
      <c r="X122" s="28">
        <f t="shared" si="10"/>
        <v>10452152.699999999</v>
      </c>
      <c r="Y122" s="28">
        <f t="shared" si="10"/>
        <v>380778.75</v>
      </c>
      <c r="Z122" s="28">
        <f t="shared" si="10"/>
        <v>335085.3</v>
      </c>
      <c r="AA122" s="28">
        <f t="shared" si="10"/>
        <v>4767947.25</v>
      </c>
      <c r="AB122" s="43">
        <f t="shared" si="10"/>
        <v>61.999998067334921</v>
      </c>
      <c r="AC122" s="43">
        <f t="shared" si="10"/>
        <v>7.547048315309036</v>
      </c>
      <c r="AD122" s="43">
        <f t="shared" si="10"/>
        <v>2</v>
      </c>
      <c r="AE122" s="43">
        <f t="shared" si="10"/>
        <v>20.999999209364287</v>
      </c>
      <c r="AF122" s="28">
        <f t="shared" si="10"/>
        <v>266790018</v>
      </c>
      <c r="AG122" s="28">
        <f t="shared" si="10"/>
        <v>20449995</v>
      </c>
      <c r="AH122" s="43">
        <f t="shared" si="10"/>
        <v>130.49999881404645</v>
      </c>
      <c r="AI122" s="43">
        <f t="shared" si="10"/>
        <v>247.49999187402213</v>
      </c>
      <c r="AJ122" s="43">
        <f t="shared" si="10"/>
        <v>548.99998172752998</v>
      </c>
      <c r="AK122" s="43">
        <f t="shared" si="10"/>
        <v>355.99998752552574</v>
      </c>
      <c r="AL122" s="43">
        <f t="shared" si="10"/>
        <v>518.99995634016238</v>
      </c>
      <c r="AM122" s="43">
        <f>SUM(AM6:AM121)</f>
        <v>23</v>
      </c>
      <c r="AN122" s="43">
        <f t="shared" ref="AN122:CF122" si="11">SUM(AN6:AN121)</f>
        <v>37.000037179888118</v>
      </c>
      <c r="AO122" s="43">
        <f t="shared" si="11"/>
        <v>6</v>
      </c>
      <c r="AP122" s="28">
        <f t="shared" si="11"/>
        <v>14179304.699999997</v>
      </c>
      <c r="AQ122" s="28">
        <f t="shared" si="11"/>
        <v>284912.09999999998</v>
      </c>
      <c r="AR122" s="43">
        <f t="shared" si="11"/>
        <v>400.49998721805611</v>
      </c>
      <c r="AS122" s="43">
        <f t="shared" si="11"/>
        <v>5.9399993587065865</v>
      </c>
      <c r="AT122" s="43">
        <f t="shared" si="11"/>
        <v>23.999998468075848</v>
      </c>
      <c r="AU122" s="28">
        <f t="shared" si="11"/>
        <v>15039416.700000009</v>
      </c>
      <c r="AV122" s="28">
        <f t="shared" si="11"/>
        <v>1128800</v>
      </c>
      <c r="AW122" s="28">
        <f t="shared" si="11"/>
        <v>1026800</v>
      </c>
      <c r="AX122" s="28">
        <f t="shared" si="11"/>
        <v>367200</v>
      </c>
      <c r="AY122" s="28">
        <f t="shared" si="11"/>
        <v>1030000</v>
      </c>
      <c r="AZ122" s="28">
        <f t="shared" si="11"/>
        <v>1298800</v>
      </c>
      <c r="BA122" s="28">
        <f t="shared" si="11"/>
        <v>193800</v>
      </c>
      <c r="BB122" s="28">
        <f t="shared" si="11"/>
        <v>1176400</v>
      </c>
      <c r="BC122" s="28">
        <f t="shared" si="11"/>
        <v>14234039.090000004</v>
      </c>
      <c r="BD122" s="28">
        <f t="shared" si="11"/>
        <v>226499.71</v>
      </c>
      <c r="BE122" s="28">
        <f t="shared" si="11"/>
        <v>402100</v>
      </c>
      <c r="BF122" s="43">
        <f t="shared" si="11"/>
        <v>6</v>
      </c>
      <c r="BG122" s="43">
        <f t="shared" si="11"/>
        <v>8.9999897830474271</v>
      </c>
      <c r="BH122" s="28">
        <f t="shared" si="11"/>
        <v>159214.81</v>
      </c>
      <c r="BI122" s="28">
        <f t="shared" si="11"/>
        <v>157730</v>
      </c>
      <c r="BJ122" s="28">
        <f t="shared" si="11"/>
        <v>320000</v>
      </c>
      <c r="BK122" s="43">
        <f t="shared" si="11"/>
        <v>7</v>
      </c>
      <c r="BL122" s="28">
        <f t="shared" si="11"/>
        <v>158908</v>
      </c>
      <c r="BM122" s="43">
        <f t="shared" si="11"/>
        <v>3</v>
      </c>
      <c r="BN122" s="28">
        <f t="shared" si="11"/>
        <v>9000</v>
      </c>
      <c r="BO122" s="43">
        <f t="shared" si="11"/>
        <v>1.0000041250219776</v>
      </c>
      <c r="BP122" s="28">
        <f t="shared" si="11"/>
        <v>1558627</v>
      </c>
      <c r="BQ122" s="43">
        <f t="shared" si="11"/>
        <v>6</v>
      </c>
      <c r="BR122" s="43">
        <f t="shared" si="11"/>
        <v>1</v>
      </c>
      <c r="BS122" s="28">
        <f t="shared" si="11"/>
        <v>802305</v>
      </c>
      <c r="BT122" s="28">
        <f t="shared" si="11"/>
        <v>30000</v>
      </c>
      <c r="BU122" s="28">
        <f t="shared" si="11"/>
        <v>613000</v>
      </c>
      <c r="BV122" s="28">
        <f t="shared" si="11"/>
        <v>7199537.9800000004</v>
      </c>
      <c r="BW122" s="28">
        <f t="shared" si="11"/>
        <v>2054708</v>
      </c>
      <c r="BX122" s="43">
        <f t="shared" si="11"/>
        <v>20.000082162322993</v>
      </c>
      <c r="BY122" s="43">
        <f t="shared" si="11"/>
        <v>7</v>
      </c>
      <c r="BZ122" s="43">
        <f t="shared" si="11"/>
        <v>1</v>
      </c>
      <c r="CA122" s="28">
        <f t="shared" si="11"/>
        <v>66104275.470000006</v>
      </c>
      <c r="CB122" s="28">
        <f t="shared" si="11"/>
        <v>9757492.8000000026</v>
      </c>
      <c r="CC122" s="28">
        <f t="shared" si="11"/>
        <v>13564857.819999997</v>
      </c>
      <c r="CD122" s="28">
        <f t="shared" si="11"/>
        <v>9559089.1799999978</v>
      </c>
      <c r="CE122" s="28">
        <f t="shared" si="11"/>
        <v>11982756.629999999</v>
      </c>
      <c r="CF122" s="28">
        <f t="shared" si="11"/>
        <v>9464334.5199999977</v>
      </c>
      <c r="CJ122" s="28">
        <f t="shared" ref="CJ122" si="12">SUM(CJ6:CJ121)</f>
        <v>488334795.02701086</v>
      </c>
      <c r="CK122" s="28">
        <v>113832</v>
      </c>
      <c r="CM122" s="28">
        <f t="shared" ref="CM122:CN122" si="13">SUM(CM6:CM121)</f>
        <v>99.5</v>
      </c>
      <c r="CN122" s="28">
        <f t="shared" si="13"/>
        <v>38.032122026009596</v>
      </c>
      <c r="DB122" s="28">
        <f>SUM(DB6:DB121)</f>
        <v>278757503.23000002</v>
      </c>
      <c r="DC122" s="28">
        <f>SUM(DC6:DC121)</f>
        <v>44571038.150000013</v>
      </c>
      <c r="DF122" s="28">
        <f t="shared" ref="DF122" si="14">SUM(DF6:DF121)</f>
        <v>0</v>
      </c>
      <c r="EF122" s="28">
        <f t="shared" ref="EF122:EG122" si="15">SUM(EF6:EF121)</f>
        <v>0</v>
      </c>
      <c r="EG122" s="28">
        <f t="shared" si="15"/>
        <v>0</v>
      </c>
    </row>
    <row r="123" spans="1:137" s="34" customFormat="1" x14ac:dyDescent="0.2">
      <c r="K123" s="34">
        <v>198942.26</v>
      </c>
      <c r="L123" s="34">
        <v>113832.45</v>
      </c>
      <c r="M123" s="34">
        <v>128425</v>
      </c>
      <c r="N123" s="34">
        <v>71961.03</v>
      </c>
      <c r="P123" s="34">
        <v>79024.509999999995</v>
      </c>
      <c r="Q123" s="34">
        <v>60058.83</v>
      </c>
      <c r="R123" s="34">
        <v>51187.26</v>
      </c>
      <c r="S123" s="34">
        <v>113832.45</v>
      </c>
      <c r="T123" s="34">
        <v>113832.45</v>
      </c>
      <c r="U123" s="34">
        <v>113832.45</v>
      </c>
      <c r="V123" s="34">
        <v>113832.45</v>
      </c>
      <c r="W123" s="34">
        <v>39166.43</v>
      </c>
      <c r="AB123" s="34">
        <v>113832.45</v>
      </c>
      <c r="AC123" s="34">
        <v>113832.45</v>
      </c>
      <c r="AD123" s="34">
        <v>104263.14</v>
      </c>
      <c r="AE123" s="34">
        <v>113832.45</v>
      </c>
      <c r="AH123" s="34">
        <v>113832.45</v>
      </c>
      <c r="AI123" s="34">
        <v>113832.45</v>
      </c>
      <c r="AJ123" s="34">
        <v>113832.45</v>
      </c>
      <c r="AK123" s="34">
        <v>113832.45</v>
      </c>
      <c r="AL123" s="34">
        <v>39166.43</v>
      </c>
      <c r="AM123" s="34">
        <v>45584.090869565218</v>
      </c>
      <c r="AN123" s="34">
        <v>57558</v>
      </c>
      <c r="AO123" s="34">
        <v>119483.41</v>
      </c>
      <c r="AR123" s="34">
        <v>113832.45</v>
      </c>
      <c r="AS123" s="34">
        <v>113832.45</v>
      </c>
      <c r="AT123" s="34">
        <v>39166.43</v>
      </c>
      <c r="BF123" s="34">
        <v>113832.45</v>
      </c>
      <c r="BG123" s="6">
        <v>158560</v>
      </c>
      <c r="BK123" s="34">
        <v>119483.41</v>
      </c>
      <c r="BM123" s="34">
        <v>119483.41</v>
      </c>
      <c r="BO123" s="34">
        <v>147878</v>
      </c>
      <c r="BQ123" s="34">
        <v>113832.45</v>
      </c>
      <c r="BR123" s="34">
        <v>74970.559999999998</v>
      </c>
      <c r="BX123" s="34">
        <v>147878</v>
      </c>
      <c r="BY123" s="34">
        <v>119483.41</v>
      </c>
      <c r="BZ123" s="34">
        <v>131776.46</v>
      </c>
      <c r="CK123" s="34">
        <v>113832.45</v>
      </c>
      <c r="CL123" s="34">
        <v>158560</v>
      </c>
      <c r="CM123" s="34">
        <v>92387</v>
      </c>
      <c r="CN123" s="34">
        <v>53628</v>
      </c>
      <c r="CO123" s="34">
        <v>58500</v>
      </c>
      <c r="CP123" s="34">
        <v>70673</v>
      </c>
      <c r="CQ123" s="28">
        <v>113832.45</v>
      </c>
      <c r="CR123" s="28">
        <v>113832.45</v>
      </c>
      <c r="CS123" s="28">
        <v>113832.45</v>
      </c>
      <c r="CT123" s="34">
        <v>39166.43</v>
      </c>
      <c r="CU123" s="34">
        <v>113832.45</v>
      </c>
      <c r="CV123" s="34">
        <v>113832.45</v>
      </c>
      <c r="CZ123" s="34">
        <v>119483.41</v>
      </c>
      <c r="DF123" s="34">
        <v>113832.45</v>
      </c>
      <c r="DK123" s="34">
        <v>113832.45</v>
      </c>
      <c r="DL123" s="34">
        <v>128425</v>
      </c>
      <c r="DO123" s="34">
        <v>70673</v>
      </c>
      <c r="DP123" s="34">
        <v>113832.45</v>
      </c>
      <c r="DQ123" s="34">
        <v>113832.45</v>
      </c>
      <c r="DR123" s="34">
        <v>158560</v>
      </c>
      <c r="DT123" s="34">
        <v>113832.45</v>
      </c>
      <c r="DW123" s="41">
        <v>119483.41</v>
      </c>
    </row>
  </sheetData>
  <autoFilter ref="A1:DD123" xr:uid="{73D9FC83-A212-4416-A567-AA3E461F6228}"/>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F7861-4E38-420A-B2E0-9DBA65F2F20F}">
  <dimension ref="A1:DV129"/>
  <sheetViews>
    <sheetView topLeftCell="S1" workbookViewId="0">
      <selection activeCell="AB18" sqref="AB18"/>
    </sheetView>
  </sheetViews>
  <sheetFormatPr defaultRowHeight="12.75" x14ac:dyDescent="0.2"/>
  <cols>
    <col min="1" max="1" width="9.33203125" style="3"/>
    <col min="2" max="2" width="26" style="2" customWidth="1"/>
    <col min="3" max="3" width="6.6640625" customWidth="1"/>
    <col min="4" max="4" width="7.1640625" customWidth="1"/>
    <col min="5" max="5" width="9.5" style="1" customWidth="1"/>
    <col min="6" max="6" width="8.33203125" customWidth="1"/>
    <col min="7" max="7" width="8.6640625" customWidth="1"/>
    <col min="8" max="10" width="14.6640625" customWidth="1"/>
    <col min="11" max="11" width="12" customWidth="1"/>
    <col min="12" max="12" width="14.6640625" customWidth="1"/>
    <col min="13" max="13" width="12.33203125" customWidth="1"/>
    <col min="14" max="14" width="14.6640625" customWidth="1"/>
    <col min="15" max="15" width="14" customWidth="1"/>
    <col min="16" max="20" width="14.6640625" customWidth="1"/>
    <col min="21" max="21" width="11.83203125" customWidth="1"/>
    <col min="22" max="22" width="12.5" customWidth="1"/>
    <col min="23" max="24" width="11.33203125" customWidth="1"/>
    <col min="25" max="25" width="11.5" customWidth="1"/>
    <col min="26" max="26" width="12.5" customWidth="1"/>
    <col min="27" max="39" width="14.6640625" customWidth="1"/>
    <col min="40" max="40" width="12.5" customWidth="1"/>
    <col min="41" max="44" width="14.6640625" customWidth="1"/>
    <col min="45" max="45" width="13" customWidth="1"/>
    <col min="46" max="46" width="12.6640625" customWidth="1"/>
    <col min="47" max="47" width="11" customWidth="1"/>
    <col min="48" max="84" width="14.6640625" customWidth="1"/>
    <col min="87" max="88" width="14.6640625" customWidth="1"/>
    <col min="89" max="89" width="12.1640625" customWidth="1"/>
    <col min="90" max="91" width="12" customWidth="1"/>
    <col min="92" max="93" width="14.6640625" customWidth="1"/>
    <col min="94" max="94" width="12.6640625" customWidth="1"/>
    <col min="95" max="104" width="14.6640625" customWidth="1"/>
    <col min="106" max="107" width="14.6640625" customWidth="1"/>
    <col min="110" max="120" width="14.6640625" customWidth="1"/>
    <col min="125" max="126" width="14.6640625" customWidth="1"/>
  </cols>
  <sheetData>
    <row r="1" spans="1:126" x14ac:dyDescent="0.2">
      <c r="H1" t="s">
        <v>247</v>
      </c>
      <c r="I1" t="s">
        <v>247</v>
      </c>
      <c r="J1" t="s">
        <v>247</v>
      </c>
      <c r="K1" t="s">
        <v>248</v>
      </c>
      <c r="L1" t="s">
        <v>248</v>
      </c>
      <c r="M1" t="s">
        <v>247</v>
      </c>
      <c r="N1" t="s">
        <v>247</v>
      </c>
      <c r="O1" t="s">
        <v>247</v>
      </c>
      <c r="P1" t="s">
        <v>247</v>
      </c>
      <c r="Q1" t="s">
        <v>247</v>
      </c>
      <c r="R1" t="s">
        <v>247</v>
      </c>
      <c r="S1" t="s">
        <v>247</v>
      </c>
      <c r="T1" t="s">
        <v>247</v>
      </c>
      <c r="U1" t="s">
        <v>250</v>
      </c>
      <c r="V1" t="s">
        <v>250</v>
      </c>
      <c r="W1" t="s">
        <v>250</v>
      </c>
      <c r="X1" t="s">
        <v>250</v>
      </c>
      <c r="Y1" t="s">
        <v>248</v>
      </c>
      <c r="AA1" t="s">
        <v>248</v>
      </c>
      <c r="AB1" t="s">
        <v>248</v>
      </c>
      <c r="AC1" t="s">
        <v>250</v>
      </c>
      <c r="AD1" t="s">
        <v>248</v>
      </c>
      <c r="AE1" t="s">
        <v>247</v>
      </c>
      <c r="AF1" t="s">
        <v>247</v>
      </c>
      <c r="AG1" t="s">
        <v>247</v>
      </c>
      <c r="AH1" t="s">
        <v>247</v>
      </c>
      <c r="AI1" t="s">
        <v>256</v>
      </c>
      <c r="AK1" t="s">
        <v>247</v>
      </c>
      <c r="AL1" t="s">
        <v>247</v>
      </c>
      <c r="AM1" t="s">
        <v>250</v>
      </c>
      <c r="AN1" t="s">
        <v>250</v>
      </c>
      <c r="AO1" t="s">
        <v>247</v>
      </c>
      <c r="AP1" t="s">
        <v>247</v>
      </c>
      <c r="AQ1" t="s">
        <v>247</v>
      </c>
      <c r="AR1" t="s">
        <v>257</v>
      </c>
      <c r="AS1" t="s">
        <v>248</v>
      </c>
      <c r="AT1" t="s">
        <v>248</v>
      </c>
      <c r="AU1" t="s">
        <v>248</v>
      </c>
      <c r="AV1" t="s">
        <v>248</v>
      </c>
      <c r="AW1" t="s">
        <v>248</v>
      </c>
      <c r="AZ1" t="s">
        <v>260</v>
      </c>
      <c r="BA1" t="s">
        <v>260</v>
      </c>
      <c r="BB1" t="s">
        <v>260</v>
      </c>
      <c r="BC1" t="s">
        <v>260</v>
      </c>
      <c r="BD1" t="s">
        <v>260</v>
      </c>
      <c r="BE1" t="s">
        <v>260</v>
      </c>
      <c r="BF1" t="s">
        <v>260</v>
      </c>
      <c r="BG1" t="s">
        <v>260</v>
      </c>
      <c r="BH1" t="s">
        <v>248</v>
      </c>
      <c r="BI1" t="s">
        <v>248</v>
      </c>
      <c r="BJ1" t="s">
        <v>248</v>
      </c>
      <c r="BK1" t="s">
        <v>248</v>
      </c>
      <c r="BL1" t="s">
        <v>248</v>
      </c>
      <c r="BM1" t="s">
        <v>248</v>
      </c>
      <c r="BN1" t="s">
        <v>248</v>
      </c>
      <c r="BO1" t="s">
        <v>248</v>
      </c>
      <c r="BP1" t="s">
        <v>248</v>
      </c>
      <c r="BQ1" t="s">
        <v>248</v>
      </c>
      <c r="BR1" t="s">
        <v>248</v>
      </c>
      <c r="BS1" t="s">
        <v>248</v>
      </c>
      <c r="BT1" t="s">
        <v>248</v>
      </c>
      <c r="BU1" t="s">
        <v>248</v>
      </c>
      <c r="BV1" t="s">
        <v>248</v>
      </c>
      <c r="BW1" t="s">
        <v>248</v>
      </c>
      <c r="BX1" t="s">
        <v>248</v>
      </c>
      <c r="BY1" t="s">
        <v>250</v>
      </c>
      <c r="BZ1" t="s">
        <v>249</v>
      </c>
      <c r="CA1" t="s">
        <v>249</v>
      </c>
      <c r="CB1" t="s">
        <v>249</v>
      </c>
      <c r="CC1" t="s">
        <v>249</v>
      </c>
      <c r="CD1" t="s">
        <v>249</v>
      </c>
      <c r="CE1" t="s">
        <v>249</v>
      </c>
      <c r="CF1" t="s">
        <v>249</v>
      </c>
      <c r="CW1" t="s">
        <v>250</v>
      </c>
      <c r="DB1" t="s">
        <v>257</v>
      </c>
      <c r="DC1" t="s">
        <v>257</v>
      </c>
      <c r="DF1" t="s">
        <v>259</v>
      </c>
      <c r="DG1" t="s">
        <v>259</v>
      </c>
      <c r="DH1" t="s">
        <v>259</v>
      </c>
      <c r="DI1" t="s">
        <v>259</v>
      </c>
      <c r="DJ1" t="s">
        <v>259</v>
      </c>
      <c r="DK1" t="s">
        <v>258</v>
      </c>
      <c r="DL1" t="s">
        <v>258</v>
      </c>
      <c r="DM1" t="s">
        <v>250</v>
      </c>
      <c r="DN1" t="s">
        <v>258</v>
      </c>
      <c r="DO1" t="s">
        <v>258</v>
      </c>
      <c r="DP1" t="s">
        <v>258</v>
      </c>
    </row>
    <row r="2" spans="1:126" x14ac:dyDescent="0.2">
      <c r="H2" t="s">
        <v>127</v>
      </c>
      <c r="I2" t="s">
        <v>126</v>
      </c>
      <c r="J2" t="s">
        <v>126</v>
      </c>
      <c r="K2" t="s">
        <v>125</v>
      </c>
      <c r="L2" t="s">
        <v>126</v>
      </c>
      <c r="M2" t="s">
        <v>126</v>
      </c>
      <c r="N2" t="s">
        <v>126</v>
      </c>
      <c r="O2" t="s">
        <v>126</v>
      </c>
      <c r="P2" t="s">
        <v>127</v>
      </c>
      <c r="Q2" t="s">
        <v>126</v>
      </c>
      <c r="R2" t="s">
        <v>126</v>
      </c>
      <c r="S2" t="s">
        <v>126</v>
      </c>
      <c r="T2" t="s">
        <v>126</v>
      </c>
      <c r="U2" t="s">
        <v>125</v>
      </c>
      <c r="V2" t="s">
        <v>125</v>
      </c>
      <c r="W2" t="s">
        <v>125</v>
      </c>
      <c r="X2" t="s">
        <v>125</v>
      </c>
      <c r="Y2" t="s">
        <v>126</v>
      </c>
      <c r="AA2" t="s">
        <v>127</v>
      </c>
      <c r="AB2" t="s">
        <v>127</v>
      </c>
      <c r="AC2" t="s">
        <v>125</v>
      </c>
      <c r="AD2" t="s">
        <v>125</v>
      </c>
      <c r="AE2" t="s">
        <v>126</v>
      </c>
      <c r="AF2" t="s">
        <v>126</v>
      </c>
      <c r="AG2" t="s">
        <v>126</v>
      </c>
      <c r="AH2" t="s">
        <v>127</v>
      </c>
      <c r="AI2" t="s">
        <v>126</v>
      </c>
      <c r="AK2" t="s">
        <v>126</v>
      </c>
      <c r="AL2" t="s">
        <v>126</v>
      </c>
      <c r="AM2" t="s">
        <v>127</v>
      </c>
      <c r="AN2" t="s">
        <v>127</v>
      </c>
      <c r="AO2" t="s">
        <v>126</v>
      </c>
      <c r="AP2" t="s">
        <v>127</v>
      </c>
      <c r="AQ2" t="s">
        <v>126</v>
      </c>
      <c r="AR2" t="s">
        <v>127</v>
      </c>
      <c r="AS2" t="s">
        <v>126</v>
      </c>
      <c r="AT2" t="s">
        <v>126</v>
      </c>
      <c r="AU2" t="s">
        <v>126</v>
      </c>
      <c r="AV2" t="s">
        <v>254</v>
      </c>
      <c r="AZ2" t="s">
        <v>252</v>
      </c>
      <c r="BB2" t="s">
        <v>127</v>
      </c>
      <c r="BC2" t="s">
        <v>127</v>
      </c>
      <c r="BD2" t="s">
        <v>127</v>
      </c>
      <c r="BE2" t="s">
        <v>127</v>
      </c>
      <c r="BG2" t="s">
        <v>127</v>
      </c>
      <c r="BH2" t="s">
        <v>127</v>
      </c>
      <c r="BI2" t="s">
        <v>127</v>
      </c>
      <c r="BJ2" t="s">
        <v>126</v>
      </c>
      <c r="BK2" t="s">
        <v>126</v>
      </c>
      <c r="BL2" t="s">
        <v>127</v>
      </c>
      <c r="BM2" t="s">
        <v>126</v>
      </c>
      <c r="BN2" t="s">
        <v>127</v>
      </c>
      <c r="BO2" t="s">
        <v>127</v>
      </c>
      <c r="BP2" t="s">
        <v>127</v>
      </c>
      <c r="BQ2" t="s">
        <v>127</v>
      </c>
      <c r="BR2" t="s">
        <v>127</v>
      </c>
      <c r="BS2" t="s">
        <v>125</v>
      </c>
      <c r="BT2" t="s">
        <v>126</v>
      </c>
      <c r="BU2" t="s">
        <v>126</v>
      </c>
      <c r="BV2" t="s">
        <v>127</v>
      </c>
      <c r="BW2" t="s">
        <v>127</v>
      </c>
      <c r="BX2" t="s">
        <v>125</v>
      </c>
      <c r="BY2" t="s">
        <v>125</v>
      </c>
      <c r="BZ2" t="s">
        <v>125</v>
      </c>
      <c r="CA2" t="s">
        <v>125</v>
      </c>
      <c r="CB2" t="s">
        <v>125</v>
      </c>
      <c r="CC2" t="s">
        <v>125</v>
      </c>
      <c r="CD2" t="s">
        <v>125</v>
      </c>
      <c r="CE2" t="s">
        <v>125</v>
      </c>
      <c r="CF2" t="s">
        <v>125</v>
      </c>
      <c r="CW2" t="s">
        <v>125</v>
      </c>
      <c r="DB2" t="s">
        <v>127</v>
      </c>
      <c r="DC2" t="s">
        <v>127</v>
      </c>
      <c r="DK2" t="s">
        <v>125</v>
      </c>
      <c r="DL2" t="s">
        <v>125</v>
      </c>
      <c r="DM2" t="s">
        <v>125</v>
      </c>
      <c r="DN2" t="s">
        <v>125</v>
      </c>
      <c r="DO2" t="s">
        <v>125</v>
      </c>
      <c r="DP2" t="s">
        <v>125</v>
      </c>
    </row>
    <row r="3" spans="1:126" s="11" customFormat="1" ht="50.25" customHeight="1" x14ac:dyDescent="0.2">
      <c r="A3" s="24" t="s">
        <v>237</v>
      </c>
      <c r="B3" s="24" t="s">
        <v>236</v>
      </c>
      <c r="C3" s="17" t="s">
        <v>235</v>
      </c>
      <c r="D3" s="17" t="s">
        <v>234</v>
      </c>
      <c r="E3" s="23" t="s">
        <v>233</v>
      </c>
      <c r="F3" s="17" t="s">
        <v>232</v>
      </c>
      <c r="G3" s="17" t="s">
        <v>231</v>
      </c>
      <c r="H3" s="17" t="s">
        <v>230</v>
      </c>
      <c r="I3" s="17" t="s">
        <v>227</v>
      </c>
      <c r="J3" s="17" t="s">
        <v>226</v>
      </c>
      <c r="K3" s="17" t="s">
        <v>224</v>
      </c>
      <c r="L3" s="17" t="s">
        <v>157</v>
      </c>
      <c r="M3" s="17" t="s">
        <v>219</v>
      </c>
      <c r="N3" s="17" t="s">
        <v>218</v>
      </c>
      <c r="O3" s="17" t="s">
        <v>217</v>
      </c>
      <c r="P3" s="17" t="s">
        <v>216</v>
      </c>
      <c r="Q3" s="32" t="s">
        <v>213</v>
      </c>
      <c r="R3" s="32" t="s">
        <v>212</v>
      </c>
      <c r="S3" s="32" t="s">
        <v>211</v>
      </c>
      <c r="T3" s="32" t="s">
        <v>210</v>
      </c>
      <c r="U3" s="32" t="s">
        <v>285</v>
      </c>
      <c r="V3" s="32" t="s">
        <v>286</v>
      </c>
      <c r="W3" s="32" t="s">
        <v>287</v>
      </c>
      <c r="X3" s="32" t="s">
        <v>288</v>
      </c>
      <c r="Y3" s="17" t="s">
        <v>253</v>
      </c>
      <c r="Z3" s="17" t="s">
        <v>289</v>
      </c>
      <c r="AA3" s="17" t="s">
        <v>179</v>
      </c>
      <c r="AB3" s="17" t="s">
        <v>178</v>
      </c>
      <c r="AC3" s="20" t="s">
        <v>290</v>
      </c>
      <c r="AD3" s="20" t="s">
        <v>284</v>
      </c>
      <c r="AE3" s="16" t="s">
        <v>206</v>
      </c>
      <c r="AF3" s="16" t="s">
        <v>205</v>
      </c>
      <c r="AG3" s="16" t="s">
        <v>204</v>
      </c>
      <c r="AH3" s="16" t="s">
        <v>251</v>
      </c>
      <c r="AI3" s="16" t="s">
        <v>203</v>
      </c>
      <c r="AJ3" s="16" t="s">
        <v>298</v>
      </c>
      <c r="AK3" s="16" t="s">
        <v>202</v>
      </c>
      <c r="AL3" s="16" t="s">
        <v>201</v>
      </c>
      <c r="AM3" s="16" t="s">
        <v>292</v>
      </c>
      <c r="AN3" s="16" t="s">
        <v>293</v>
      </c>
      <c r="AO3" s="15" t="s">
        <v>200</v>
      </c>
      <c r="AP3" s="15" t="s">
        <v>199</v>
      </c>
      <c r="AQ3" s="15" t="s">
        <v>198</v>
      </c>
      <c r="AR3" s="15" t="s">
        <v>294</v>
      </c>
      <c r="AS3" s="22" t="s">
        <v>195</v>
      </c>
      <c r="AT3" s="22" t="s">
        <v>194</v>
      </c>
      <c r="AU3" s="22" t="s">
        <v>193</v>
      </c>
      <c r="AV3" s="22" t="s">
        <v>136</v>
      </c>
      <c r="AW3" s="12" t="s">
        <v>192</v>
      </c>
      <c r="AX3" s="12" t="s">
        <v>192</v>
      </c>
      <c r="AY3" s="12" t="s">
        <v>192</v>
      </c>
      <c r="AZ3" s="12" t="s">
        <v>191</v>
      </c>
      <c r="BA3" s="12" t="s">
        <v>295</v>
      </c>
      <c r="BB3" s="12" t="s">
        <v>190</v>
      </c>
      <c r="BC3" s="21" t="s">
        <v>184</v>
      </c>
      <c r="BD3" s="21" t="s">
        <v>183</v>
      </c>
      <c r="BE3" s="21" t="s">
        <v>182</v>
      </c>
      <c r="BF3" s="21" t="s">
        <v>181</v>
      </c>
      <c r="BG3" s="21" t="s">
        <v>180</v>
      </c>
      <c r="BH3" s="13" t="s">
        <v>188</v>
      </c>
      <c r="BI3" s="13" t="s">
        <v>153</v>
      </c>
      <c r="BJ3" s="13" t="s">
        <v>161</v>
      </c>
      <c r="BK3" s="13" t="s">
        <v>296</v>
      </c>
      <c r="BL3" s="13" t="s">
        <v>160</v>
      </c>
      <c r="BM3" s="13" t="s">
        <v>242</v>
      </c>
      <c r="BN3" s="13" t="s">
        <v>174</v>
      </c>
      <c r="BO3" s="13" t="s">
        <v>152</v>
      </c>
      <c r="BP3" s="13" t="s">
        <v>158</v>
      </c>
      <c r="BQ3" s="13" t="s">
        <v>159</v>
      </c>
      <c r="BR3" s="13" t="s">
        <v>154</v>
      </c>
      <c r="BS3" s="13" t="s">
        <v>155</v>
      </c>
      <c r="BT3" s="13" t="s">
        <v>246</v>
      </c>
      <c r="BU3" s="21" t="s">
        <v>177</v>
      </c>
      <c r="BV3" s="21" t="s">
        <v>176</v>
      </c>
      <c r="BW3" s="21" t="s">
        <v>175</v>
      </c>
      <c r="BX3" s="21" t="s">
        <v>144</v>
      </c>
      <c r="BY3" s="21" t="s">
        <v>255</v>
      </c>
      <c r="BZ3" s="19" t="s">
        <v>244</v>
      </c>
      <c r="CA3" s="19" t="s">
        <v>245</v>
      </c>
      <c r="CB3" s="19" t="s">
        <v>297</v>
      </c>
      <c r="CC3" s="19" t="s">
        <v>149</v>
      </c>
      <c r="CD3" s="14" t="s">
        <v>156</v>
      </c>
      <c r="CE3" s="14" t="s">
        <v>148</v>
      </c>
      <c r="CF3" s="14" t="s">
        <v>147</v>
      </c>
      <c r="CI3" s="42" t="s">
        <v>229</v>
      </c>
      <c r="CJ3" s="42" t="s">
        <v>228</v>
      </c>
      <c r="CK3" s="42" t="s">
        <v>225</v>
      </c>
      <c r="CL3" s="42" t="s">
        <v>223</v>
      </c>
      <c r="CM3" s="42" t="s">
        <v>222</v>
      </c>
      <c r="CN3" s="42" t="s">
        <v>221</v>
      </c>
      <c r="CO3" s="42" t="s">
        <v>215</v>
      </c>
      <c r="CP3" s="42" t="s">
        <v>209</v>
      </c>
      <c r="CQ3" s="42" t="s">
        <v>208</v>
      </c>
      <c r="CR3" s="42" t="s">
        <v>173</v>
      </c>
      <c r="CS3" s="42" t="s">
        <v>171</v>
      </c>
      <c r="CT3" s="42" t="s">
        <v>170</v>
      </c>
      <c r="CU3" s="42" t="s">
        <v>169</v>
      </c>
      <c r="CV3" s="42" t="s">
        <v>168</v>
      </c>
      <c r="CW3" s="13" t="s">
        <v>187</v>
      </c>
      <c r="CX3" s="12" t="s">
        <v>189</v>
      </c>
      <c r="CY3" s="18" t="s">
        <v>167</v>
      </c>
      <c r="CZ3" s="18"/>
      <c r="DB3" s="15" t="s">
        <v>197</v>
      </c>
      <c r="DC3" s="15" t="s">
        <v>196</v>
      </c>
      <c r="DF3" s="21" t="s">
        <v>220</v>
      </c>
      <c r="DG3" s="21" t="s">
        <v>214</v>
      </c>
      <c r="DH3" s="21" t="s">
        <v>207</v>
      </c>
      <c r="DI3" s="21" t="s">
        <v>186</v>
      </c>
      <c r="DJ3" s="21" t="s">
        <v>185</v>
      </c>
      <c r="DK3" s="21" t="s">
        <v>172</v>
      </c>
      <c r="DL3" s="21" t="s">
        <v>166</v>
      </c>
      <c r="DM3" s="20" t="s">
        <v>150</v>
      </c>
      <c r="DN3" s="21" t="s">
        <v>165</v>
      </c>
      <c r="DO3" s="21" t="s">
        <v>163</v>
      </c>
      <c r="DP3" s="21" t="s">
        <v>151</v>
      </c>
      <c r="DU3" s="18" t="s">
        <v>146</v>
      </c>
      <c r="DV3" s="18" t="s">
        <v>145</v>
      </c>
    </row>
    <row r="4" spans="1:126" ht="20.25" x14ac:dyDescent="0.3">
      <c r="A4" s="10"/>
      <c r="B4" s="9"/>
      <c r="H4" t="s">
        <v>134</v>
      </c>
      <c r="I4" t="s">
        <v>139</v>
      </c>
      <c r="J4" t="s">
        <v>139</v>
      </c>
      <c r="K4" t="s">
        <v>143</v>
      </c>
      <c r="L4" t="s">
        <v>129</v>
      </c>
      <c r="M4" t="s">
        <v>142</v>
      </c>
      <c r="N4" t="s">
        <v>142</v>
      </c>
      <c r="O4" t="s">
        <v>142</v>
      </c>
      <c r="P4" t="s">
        <v>132</v>
      </c>
      <c r="Q4" t="s">
        <v>141</v>
      </c>
      <c r="R4" t="s">
        <v>141</v>
      </c>
      <c r="S4" t="s">
        <v>141</v>
      </c>
      <c r="T4" t="s">
        <v>141</v>
      </c>
      <c r="U4" t="s">
        <v>34</v>
      </c>
      <c r="V4" t="s">
        <v>34</v>
      </c>
      <c r="W4" t="s">
        <v>34</v>
      </c>
      <c r="X4" t="s">
        <v>34</v>
      </c>
      <c r="Y4" t="s">
        <v>133</v>
      </c>
      <c r="Z4" t="s">
        <v>133</v>
      </c>
      <c r="AA4" t="s">
        <v>133</v>
      </c>
      <c r="AB4" t="s">
        <v>133</v>
      </c>
      <c r="AC4" t="s">
        <v>34</v>
      </c>
      <c r="AD4" t="s">
        <v>291</v>
      </c>
      <c r="AE4" t="s">
        <v>139</v>
      </c>
      <c r="AF4" t="s">
        <v>139</v>
      </c>
      <c r="AG4" t="s">
        <v>138</v>
      </c>
      <c r="AI4" t="s">
        <v>138</v>
      </c>
      <c r="AK4" t="s">
        <v>138</v>
      </c>
      <c r="AL4" t="s">
        <v>138</v>
      </c>
      <c r="AM4" t="s">
        <v>34</v>
      </c>
      <c r="AN4" t="s">
        <v>34</v>
      </c>
      <c r="AO4" t="s">
        <v>137</v>
      </c>
      <c r="AP4" t="s">
        <v>137</v>
      </c>
      <c r="AQ4" t="s">
        <v>137</v>
      </c>
      <c r="AS4" t="s">
        <v>135</v>
      </c>
      <c r="AT4" t="s">
        <v>135</v>
      </c>
      <c r="AU4" t="s">
        <v>135</v>
      </c>
      <c r="AV4" t="s">
        <v>136</v>
      </c>
      <c r="AW4" t="s">
        <v>135</v>
      </c>
      <c r="AX4" t="s">
        <v>135</v>
      </c>
      <c r="AY4" t="s">
        <v>135</v>
      </c>
      <c r="AZ4" t="s">
        <v>129</v>
      </c>
      <c r="BA4" t="s">
        <v>129</v>
      </c>
      <c r="BB4" t="s">
        <v>129</v>
      </c>
      <c r="BC4" t="s">
        <v>132</v>
      </c>
      <c r="BD4" t="s">
        <v>134</v>
      </c>
      <c r="BE4" t="s">
        <v>131</v>
      </c>
      <c r="BF4" t="s">
        <v>129</v>
      </c>
      <c r="BG4" t="s">
        <v>131</v>
      </c>
      <c r="BH4" t="s">
        <v>132</v>
      </c>
      <c r="BI4" t="s">
        <v>129</v>
      </c>
      <c r="BJ4" t="s">
        <v>132</v>
      </c>
      <c r="BK4" t="s">
        <v>34</v>
      </c>
      <c r="BL4" t="s">
        <v>132</v>
      </c>
      <c r="BM4" t="s">
        <v>34</v>
      </c>
      <c r="BN4" t="s">
        <v>130</v>
      </c>
      <c r="BO4" t="s">
        <v>130</v>
      </c>
      <c r="BP4" t="s">
        <v>131</v>
      </c>
      <c r="BQ4" t="s">
        <v>129</v>
      </c>
      <c r="BR4" t="s">
        <v>129</v>
      </c>
      <c r="BS4" t="s">
        <v>129</v>
      </c>
      <c r="BT4" t="s">
        <v>34</v>
      </c>
      <c r="BU4" t="s">
        <v>132</v>
      </c>
      <c r="BV4" t="s">
        <v>132</v>
      </c>
      <c r="BW4" t="s">
        <v>132</v>
      </c>
      <c r="BZ4" t="s">
        <v>34</v>
      </c>
      <c r="CA4" t="s">
        <v>34</v>
      </c>
      <c r="CB4" t="s">
        <v>34</v>
      </c>
      <c r="CC4" t="s">
        <v>129</v>
      </c>
      <c r="CD4" t="s">
        <v>129</v>
      </c>
      <c r="CE4" t="s">
        <v>129</v>
      </c>
      <c r="CF4" t="s">
        <v>129</v>
      </c>
      <c r="CI4" t="s">
        <v>132</v>
      </c>
      <c r="CJ4" t="s">
        <v>134</v>
      </c>
      <c r="CK4" t="s">
        <v>143</v>
      </c>
      <c r="CL4" t="s">
        <v>143</v>
      </c>
      <c r="CM4" t="s">
        <v>143</v>
      </c>
      <c r="CN4" t="s">
        <v>139</v>
      </c>
      <c r="CO4" t="s">
        <v>130</v>
      </c>
      <c r="CP4" t="s">
        <v>140</v>
      </c>
      <c r="CQ4" t="s">
        <v>133</v>
      </c>
      <c r="CR4" t="s">
        <v>133</v>
      </c>
      <c r="CS4" t="s">
        <v>129</v>
      </c>
      <c r="CT4" t="s">
        <v>129</v>
      </c>
      <c r="CU4" t="s">
        <v>129</v>
      </c>
      <c r="CV4" t="s">
        <v>132</v>
      </c>
      <c r="CW4" t="s">
        <v>133</v>
      </c>
      <c r="CX4" t="s">
        <v>129</v>
      </c>
      <c r="CY4" t="s">
        <v>129</v>
      </c>
      <c r="DB4" t="s">
        <v>137</v>
      </c>
      <c r="DC4" t="s">
        <v>137</v>
      </c>
      <c r="DI4" t="s">
        <v>134</v>
      </c>
      <c r="DJ4" t="s">
        <v>132</v>
      </c>
      <c r="DL4" t="s">
        <v>129</v>
      </c>
      <c r="DN4" t="s">
        <v>132</v>
      </c>
      <c r="DO4" t="s">
        <v>131</v>
      </c>
      <c r="DP4" t="s">
        <v>129</v>
      </c>
    </row>
    <row r="5" spans="1:126" x14ac:dyDescent="0.2">
      <c r="B5" s="9" t="s">
        <v>128</v>
      </c>
      <c r="H5" t="s">
        <v>127</v>
      </c>
      <c r="I5" t="s">
        <v>126</v>
      </c>
      <c r="J5" t="s">
        <v>126</v>
      </c>
      <c r="K5" t="s">
        <v>125</v>
      </c>
      <c r="L5" t="s">
        <v>126</v>
      </c>
      <c r="M5" t="s">
        <v>126</v>
      </c>
      <c r="N5" t="s">
        <v>126</v>
      </c>
      <c r="O5" t="s">
        <v>126</v>
      </c>
      <c r="P5" t="s">
        <v>126</v>
      </c>
      <c r="Q5" t="s">
        <v>127</v>
      </c>
      <c r="R5" t="s">
        <v>127</v>
      </c>
      <c r="S5" t="s">
        <v>127</v>
      </c>
      <c r="T5" t="s">
        <v>127</v>
      </c>
      <c r="AA5" t="s">
        <v>127</v>
      </c>
      <c r="AB5" t="s">
        <v>127</v>
      </c>
      <c r="AE5" t="s">
        <v>127</v>
      </c>
      <c r="AF5" t="s">
        <v>127</v>
      </c>
      <c r="AG5" t="s">
        <v>127</v>
      </c>
      <c r="AI5" t="s">
        <v>127</v>
      </c>
      <c r="AK5" t="s">
        <v>127</v>
      </c>
      <c r="AL5" t="s">
        <v>127</v>
      </c>
      <c r="AO5" t="s">
        <v>127</v>
      </c>
      <c r="AP5" t="s">
        <v>127</v>
      </c>
      <c r="AQ5" t="s">
        <v>127</v>
      </c>
      <c r="AS5" t="s">
        <v>127</v>
      </c>
      <c r="AT5" t="s">
        <v>127</v>
      </c>
      <c r="AU5" t="s">
        <v>127</v>
      </c>
      <c r="AV5" t="s">
        <v>127</v>
      </c>
      <c r="AW5" t="s">
        <v>127</v>
      </c>
      <c r="AX5" t="s">
        <v>127</v>
      </c>
      <c r="AY5" t="s">
        <v>127</v>
      </c>
      <c r="AZ5" t="s">
        <v>125</v>
      </c>
      <c r="BB5" t="s">
        <v>127</v>
      </c>
      <c r="BC5" t="s">
        <v>127</v>
      </c>
      <c r="BD5" t="s">
        <v>127</v>
      </c>
      <c r="BE5" t="s">
        <v>127</v>
      </c>
      <c r="BF5" t="s">
        <v>127</v>
      </c>
      <c r="BG5" t="s">
        <v>127</v>
      </c>
      <c r="BH5" t="s">
        <v>127</v>
      </c>
      <c r="BI5" t="s">
        <v>127</v>
      </c>
      <c r="BJ5" t="s">
        <v>126</v>
      </c>
      <c r="BL5" t="s">
        <v>127</v>
      </c>
      <c r="BN5" t="s">
        <v>127</v>
      </c>
      <c r="BO5" t="s">
        <v>127</v>
      </c>
      <c r="BP5" t="s">
        <v>127</v>
      </c>
      <c r="BQ5" t="s">
        <v>127</v>
      </c>
      <c r="BR5" t="s">
        <v>127</v>
      </c>
      <c r="BS5" t="s">
        <v>125</v>
      </c>
      <c r="BU5" t="s">
        <v>127</v>
      </c>
      <c r="BV5" t="s">
        <v>127</v>
      </c>
      <c r="BW5" t="s">
        <v>127</v>
      </c>
      <c r="CC5" t="s">
        <v>125</v>
      </c>
      <c r="CD5" t="s">
        <v>125</v>
      </c>
      <c r="CE5" t="s">
        <v>125</v>
      </c>
      <c r="CF5" t="s">
        <v>125</v>
      </c>
      <c r="CI5" t="s">
        <v>126</v>
      </c>
      <c r="CJ5" t="s">
        <v>125</v>
      </c>
      <c r="CK5" t="s">
        <v>125</v>
      </c>
      <c r="CL5" t="s">
        <v>125</v>
      </c>
      <c r="CM5" t="s">
        <v>125</v>
      </c>
      <c r="CN5" t="s">
        <v>126</v>
      </c>
      <c r="CO5" t="s">
        <v>126</v>
      </c>
      <c r="CP5" t="s">
        <v>126</v>
      </c>
      <c r="CQ5" t="s">
        <v>126</v>
      </c>
      <c r="CR5" t="s">
        <v>125</v>
      </c>
      <c r="CS5" t="s">
        <v>125</v>
      </c>
      <c r="CT5" t="s">
        <v>125</v>
      </c>
      <c r="CU5" t="s">
        <v>126</v>
      </c>
      <c r="CV5" t="s">
        <v>127</v>
      </c>
      <c r="CW5" t="s">
        <v>126</v>
      </c>
      <c r="CX5" t="s">
        <v>127</v>
      </c>
      <c r="CY5" t="s">
        <v>126</v>
      </c>
      <c r="DB5" t="s">
        <v>127</v>
      </c>
      <c r="DC5" t="s">
        <v>127</v>
      </c>
      <c r="DF5" t="s">
        <v>126</v>
      </c>
      <c r="DH5" t="s">
        <v>126</v>
      </c>
      <c r="DI5" t="s">
        <v>125</v>
      </c>
      <c r="DJ5" t="s">
        <v>126</v>
      </c>
      <c r="DL5" t="s">
        <v>126</v>
      </c>
      <c r="DN5" t="s">
        <v>125</v>
      </c>
      <c r="DO5" t="s">
        <v>125</v>
      </c>
      <c r="DP5" t="s">
        <v>126</v>
      </c>
      <c r="DV5" s="6"/>
    </row>
    <row r="6" spans="1:126" x14ac:dyDescent="0.2">
      <c r="A6" s="3">
        <v>202</v>
      </c>
      <c r="B6" s="2" t="s">
        <v>124</v>
      </c>
      <c r="C6" t="s">
        <v>7</v>
      </c>
      <c r="D6">
        <v>7</v>
      </c>
      <c r="E6" s="1">
        <v>226</v>
      </c>
      <c r="F6" s="4">
        <v>0.90700000000000003</v>
      </c>
      <c r="G6">
        <v>205</v>
      </c>
      <c r="H6" s="43">
        <f>'$$xSchpostCouncil 22'!H6/'$$xSchpostCouncil 22'!H$123</f>
        <v>1</v>
      </c>
      <c r="I6" s="43">
        <f>'$$xSchpostCouncil 22'!I6/'$$xSchpostCouncil 22'!I$123</f>
        <v>0</v>
      </c>
      <c r="J6" s="43">
        <f>'$$xSchpostCouncil 22'!J6/'$$xSchpostCouncil 22'!J$123</f>
        <v>0</v>
      </c>
      <c r="K6" s="43">
        <f>'$$xSchpostCouncil 22'!K6/'$$xSchpostCouncil 22'!K$123</f>
        <v>1</v>
      </c>
      <c r="L6" s="6">
        <v>4009</v>
      </c>
      <c r="M6" s="43">
        <f>'$$xSchpostCouncil 22'!M6/'$$xSchpostCouncil 22'!M$123</f>
        <v>1</v>
      </c>
      <c r="N6" s="43">
        <f>'$$xSchpostCouncil 22'!N6/'$$xSchpostCouncil 22'!N$123</f>
        <v>1</v>
      </c>
      <c r="O6" s="43">
        <f>'$$xSchpostCouncil 22'!O6/'$$xSchpostCouncil 22'!O$123</f>
        <v>1</v>
      </c>
      <c r="P6" s="43">
        <f>'$$xSchpostCouncil 22'!P6/'$$xSchpostCouncil 22'!P$123</f>
        <v>1</v>
      </c>
      <c r="Q6" s="43">
        <f>'$$xSchpostCouncil 22'!Q6/'$$xSchpostCouncil 22'!Q$123</f>
        <v>2</v>
      </c>
      <c r="R6" s="43">
        <f>'$$xSchpostCouncil 22'!R6/'$$xSchpostCouncil 22'!R$123</f>
        <v>0</v>
      </c>
      <c r="S6" s="43">
        <f>'$$xSchpostCouncil 22'!S6/'$$xSchpostCouncil 22'!S$123</f>
        <v>2</v>
      </c>
      <c r="T6" s="43">
        <f>'$$xSchpostCouncil 22'!T6/'$$xSchpostCouncil 22'!T$123</f>
        <v>4</v>
      </c>
      <c r="U6" s="6"/>
      <c r="V6" s="6"/>
      <c r="W6" s="6"/>
      <c r="X6" s="6"/>
      <c r="Y6" s="43">
        <f>'$$xSchpostCouncil 22'!Y6/'$$xSchpostCouncil 22'!Y$123</f>
        <v>0</v>
      </c>
      <c r="Z6" s="43">
        <f>'$$xSchpostCouncil 22'!Z6/'$$xSchpostCouncil 22'!Z$123</f>
        <v>0</v>
      </c>
      <c r="AA6" s="43">
        <f>'$$xSchpostCouncil 22'!AA6/'$$xSchpostCouncil 22'!AA$123</f>
        <v>0</v>
      </c>
      <c r="AB6" s="43">
        <f>'$$xSchpostCouncil 22'!AB6/'$$xSchpostCouncil 22'!AB$123</f>
        <v>0</v>
      </c>
      <c r="AC6" s="6"/>
      <c r="AD6" s="6">
        <v>94713</v>
      </c>
      <c r="AE6" s="43">
        <f>'$$xSchpostCouncil 22'!AE6/'$$xSchpostCouncil 22'!AE$123</f>
        <v>1</v>
      </c>
      <c r="AF6" s="43">
        <f>'$$xSchpostCouncil 22'!AF6/'$$xSchpostCouncil 22'!AF$123</f>
        <v>1</v>
      </c>
      <c r="AG6" s="43">
        <f>'$$xSchpostCouncil 22'!AG6/'$$xSchpostCouncil 22'!AG$123</f>
        <v>6</v>
      </c>
      <c r="AH6" s="43">
        <f>'$$xSchpostCouncil 22'!AH6/'$$xSchpostCouncil 22'!AH$123</f>
        <v>0</v>
      </c>
      <c r="AI6" s="43">
        <f>'$$xSchpostCouncil 22'!AI6/'$$xSchpostCouncil 22'!AI$123</f>
        <v>4</v>
      </c>
      <c r="AJ6" s="43"/>
      <c r="AK6" s="43">
        <f>'$$xSchpostCouncil 22'!AK6/'$$xSchpostCouncil 22'!AK$123</f>
        <v>0</v>
      </c>
      <c r="AL6" s="43">
        <f>'$$xSchpostCouncil 22'!AL6/'$$xSchpostCouncil 22'!AL$123</f>
        <v>0</v>
      </c>
      <c r="AM6" s="6"/>
      <c r="AN6" s="6"/>
      <c r="AO6" s="43">
        <f>'$$xSchpostCouncil 22'!AO6/'$$xSchpostCouncil 22'!AO$123</f>
        <v>0</v>
      </c>
      <c r="AP6" s="43">
        <f>'$$xSchpostCouncil 22'!AP6/'$$xSchpostCouncil 22'!AP$123</f>
        <v>0.36000142135046059</v>
      </c>
      <c r="AQ6" s="43">
        <f>'$$xSchpostCouncil 22'!AQ6/'$$xSchpostCouncil 22'!AQ$123</f>
        <v>0</v>
      </c>
      <c r="AR6" s="6"/>
      <c r="AS6" s="6">
        <f>20400-13600</f>
        <v>6800</v>
      </c>
      <c r="AT6" s="6">
        <f>20400-13600</f>
        <v>6800</v>
      </c>
      <c r="AU6" s="6">
        <v>10200</v>
      </c>
      <c r="AV6" s="6"/>
      <c r="AW6" s="6">
        <v>27200</v>
      </c>
      <c r="AX6" s="6"/>
      <c r="AY6" s="6"/>
      <c r="AZ6" s="6">
        <v>102474.01</v>
      </c>
      <c r="BA6" s="6"/>
      <c r="BB6" s="6"/>
      <c r="BC6" s="43">
        <f>'$$xSchpostCouncil 22'!BC6/'$$xSchpostCouncil 22'!BC$123</f>
        <v>0</v>
      </c>
      <c r="BD6" s="43">
        <f>'$$xSchpostCouncil 22'!BD6/'$$xSchpostCouncil 22'!BD$123</f>
        <v>0</v>
      </c>
      <c r="BE6" s="6"/>
      <c r="BF6" s="6"/>
      <c r="BG6" s="6"/>
      <c r="BH6" s="43">
        <f>'$$xSchpostCouncil 22'!BH6/'$$xSchpostCouncil 22'!BH$123</f>
        <v>0</v>
      </c>
      <c r="BI6" s="6"/>
      <c r="BJ6" s="43">
        <f>'$$xSchpostCouncil 22'!BJ6/'$$xSchpostCouncil 22'!BJ$123</f>
        <v>0</v>
      </c>
      <c r="BK6" s="6"/>
      <c r="BL6" s="43">
        <f>'$$xSchpostCouncil 22'!BL6/'$$xSchpostCouncil 22'!BL$123</f>
        <v>0</v>
      </c>
      <c r="BM6" s="6"/>
      <c r="BN6" s="43">
        <f>'$$xSchpostCouncil 22'!BN6/'$$xSchpostCouncil 22'!BN$123</f>
        <v>0</v>
      </c>
      <c r="BO6" s="43">
        <f>'$$xSchpostCouncil 22'!BO6/'$$xSchpostCouncil 22'!BO$123</f>
        <v>0</v>
      </c>
      <c r="BP6" s="6"/>
      <c r="BQ6" s="6"/>
      <c r="BR6" s="6">
        <v>13859</v>
      </c>
      <c r="BS6" s="6"/>
      <c r="BT6" s="6"/>
      <c r="BU6" s="43">
        <f>'$$xSchpostCouncil 22'!BU6/'$$xSchpostCouncil 22'!BU$123</f>
        <v>0</v>
      </c>
      <c r="BV6" s="43">
        <f>'$$xSchpostCouncil 22'!BV6/'$$xSchpostCouncil 22'!BV$123</f>
        <v>0</v>
      </c>
      <c r="BW6" s="43">
        <f>'$$xSchpostCouncil 22'!BW6/'$$xSchpostCouncil 22'!BW$123</f>
        <v>0</v>
      </c>
      <c r="BX6" s="6">
        <v>518962</v>
      </c>
      <c r="BY6" s="6"/>
      <c r="BZ6" s="6"/>
      <c r="CA6" s="6"/>
      <c r="CB6" s="6"/>
      <c r="CC6" s="6"/>
      <c r="CD6" s="6"/>
      <c r="CE6" s="6"/>
      <c r="CF6" s="6">
        <v>75000</v>
      </c>
      <c r="CI6" s="43">
        <f>'$$xSchpostCouncil 22'!CI6/'$$xSchpostCouncil 22'!CI$123</f>
        <v>1</v>
      </c>
      <c r="CJ6" s="43">
        <f>'$$xSchpostCouncil 22'!CJ6/'$$xSchpostCouncil 22'!CJ$123</f>
        <v>0</v>
      </c>
      <c r="CK6" s="43">
        <f>'$$xSchpostCouncil 22'!CK6/'$$xSchpostCouncil 22'!CK$123</f>
        <v>0.50000550182110282</v>
      </c>
      <c r="CL6" s="43">
        <f>'$$xSchpostCouncil 22'!CL6/'$$xSchpostCouncil 22'!CL$123</f>
        <v>0</v>
      </c>
      <c r="CM6" s="43">
        <f>'$$xSchpostCouncil 22'!CM6/'$$xSchpostCouncil 22'!CM$123</f>
        <v>0</v>
      </c>
      <c r="CN6" s="43">
        <f>'$$xSchpostCouncil 22'!CN6/'$$xSchpostCouncil 22'!CN$123</f>
        <v>0</v>
      </c>
      <c r="CO6" s="43">
        <f>'$$xSchpostCouncil 22'!CO6/'$$xSchpostCouncil 22'!CO$123</f>
        <v>3</v>
      </c>
      <c r="CP6" s="43">
        <f>'$$xSchpostCouncil 22'!CP6/'$$xSchpostCouncil 22'!CP$123</f>
        <v>2</v>
      </c>
      <c r="CQ6" s="43">
        <f>'$$xSchpostCouncil 22'!CQ6/'$$xSchpostCouncil 22'!CQ$123</f>
        <v>10</v>
      </c>
      <c r="CR6" s="43">
        <f>'$$xSchpostCouncil 22'!CR6/'$$xSchpostCouncil 22'!CR$123</f>
        <v>0</v>
      </c>
      <c r="CS6" s="6"/>
      <c r="CT6" s="6"/>
      <c r="CU6" s="6"/>
      <c r="CV6" s="43">
        <f>'$$xSchpostCouncil 22'!CV6/'$$xSchpostCouncil 22'!CV$123</f>
        <v>0</v>
      </c>
      <c r="CW6" s="43">
        <f>'$$xSchpostCouncil 22'!CW6/'$$xSchpostCouncil 22'!CW$123</f>
        <v>0</v>
      </c>
      <c r="CX6" s="6">
        <v>0</v>
      </c>
      <c r="CY6" s="6">
        <v>75000</v>
      </c>
      <c r="CZ6" s="6"/>
      <c r="DB6" s="43">
        <f>'$$xSchpostCouncil 22'!DB6/'$$xSchpostCouncil 22'!DB$123</f>
        <v>0</v>
      </c>
      <c r="DC6" s="43">
        <f>'$$xSchpostCouncil 22'!DC6/'$$xSchpostCouncil 22'!DC$123</f>
        <v>0</v>
      </c>
      <c r="DF6" s="43">
        <f>'$$xSchpostCouncil 22'!DF6/'$$xSchpostCouncil 22'!DF$123</f>
        <v>0</v>
      </c>
      <c r="DG6" s="43">
        <f>'$$xSchpostCouncil 22'!DG6/'$$xSchpostCouncil 22'!DG$123</f>
        <v>0</v>
      </c>
      <c r="DH6" s="43">
        <f>'$$xSchpostCouncil 22'!DH6/'$$xSchpostCouncil 22'!DH$123</f>
        <v>0</v>
      </c>
      <c r="DI6" s="43">
        <f>'$$xSchpostCouncil 22'!DI6/'$$xSchpostCouncil 22'!DI$123</f>
        <v>0</v>
      </c>
      <c r="DJ6" s="43">
        <f>'$$xSchpostCouncil 22'!DJ6/'$$xSchpostCouncil 22'!DJ$123</f>
        <v>0</v>
      </c>
      <c r="DK6" s="43">
        <f>'$$xSchpostCouncil 22'!DK6/'$$xSchpostCouncil 22'!DK$123</f>
        <v>0</v>
      </c>
      <c r="DL6" s="6">
        <v>8223</v>
      </c>
      <c r="DM6" s="6"/>
      <c r="DN6" s="43">
        <f>'$$xSchpostCouncil 22'!DN6/'$$xSchpostCouncil 22'!DN$123</f>
        <v>0</v>
      </c>
      <c r="DO6" s="6"/>
      <c r="DP6" s="6">
        <v>12650</v>
      </c>
      <c r="DU6" s="6">
        <f>VLOOKUP($A6,[3]Totals!$B$2:$K$119,10,FALSE)</f>
        <v>174303.09</v>
      </c>
      <c r="DV6" s="6">
        <f>VLOOKUP($A6,[3]Totals!$B$2:$K$119,9,FALSE)</f>
        <v>87574</v>
      </c>
    </row>
    <row r="7" spans="1:126" x14ac:dyDescent="0.2">
      <c r="A7" s="3">
        <v>203</v>
      </c>
      <c r="B7" s="2" t="s">
        <v>123</v>
      </c>
      <c r="C7" t="s">
        <v>7</v>
      </c>
      <c r="D7">
        <v>6</v>
      </c>
      <c r="E7" s="1">
        <v>335</v>
      </c>
      <c r="F7" s="4">
        <v>0.63300000000000001</v>
      </c>
      <c r="G7">
        <v>212</v>
      </c>
      <c r="H7" s="43">
        <f>'$$xSchpostCouncil 22'!H7/'$$xSchpostCouncil 22'!H$123</f>
        <v>1</v>
      </c>
      <c r="I7" s="43">
        <f>'$$xSchpostCouncil 22'!I7/'$$xSchpostCouncil 22'!I$123</f>
        <v>0</v>
      </c>
      <c r="J7" s="43">
        <f>'$$xSchpostCouncil 22'!J7/'$$xSchpostCouncil 22'!J$123</f>
        <v>0</v>
      </c>
      <c r="K7" s="43">
        <f>'$$xSchpostCouncil 22'!K7/'$$xSchpostCouncil 22'!K$123</f>
        <v>1</v>
      </c>
      <c r="L7" s="6">
        <v>5669</v>
      </c>
      <c r="M7" s="43">
        <f>'$$xSchpostCouncil 22'!M7/'$$xSchpostCouncil 22'!M$123</f>
        <v>1</v>
      </c>
      <c r="N7" s="43">
        <f>'$$xSchpostCouncil 22'!N7/'$$xSchpostCouncil 22'!N$123</f>
        <v>1</v>
      </c>
      <c r="O7" s="43">
        <f>'$$xSchpostCouncil 22'!O7/'$$xSchpostCouncil 22'!O$123</f>
        <v>2</v>
      </c>
      <c r="P7" s="43">
        <f>'$$xSchpostCouncil 22'!P7/'$$xSchpostCouncil 22'!P$123</f>
        <v>1</v>
      </c>
      <c r="Q7" s="43">
        <f>'$$xSchpostCouncil 22'!Q7/'$$xSchpostCouncil 22'!Q$123</f>
        <v>2</v>
      </c>
      <c r="R7" s="43">
        <f>'$$xSchpostCouncil 22'!R7/'$$xSchpostCouncil 22'!R$123</f>
        <v>1</v>
      </c>
      <c r="S7" s="43">
        <f>'$$xSchpostCouncil 22'!S7/'$$xSchpostCouncil 22'!S$123</f>
        <v>2</v>
      </c>
      <c r="T7" s="43">
        <f>'$$xSchpostCouncil 22'!T7/'$$xSchpostCouncil 22'!T$123</f>
        <v>5</v>
      </c>
      <c r="U7" s="6"/>
      <c r="V7" s="6"/>
      <c r="W7" s="6"/>
      <c r="X7" s="6"/>
      <c r="Y7" s="43">
        <f>'$$xSchpostCouncil 22'!Y7/'$$xSchpostCouncil 22'!Y$123</f>
        <v>0</v>
      </c>
      <c r="Z7" s="43">
        <f>'$$xSchpostCouncil 22'!Z7/'$$xSchpostCouncil 22'!Z$123</f>
        <v>0</v>
      </c>
      <c r="AA7" s="43">
        <f>'$$xSchpostCouncil 22'!AA7/'$$xSchpostCouncil 22'!AA$123</f>
        <v>0</v>
      </c>
      <c r="AB7" s="43">
        <f>'$$xSchpostCouncil 22'!AB7/'$$xSchpostCouncil 22'!AB$123</f>
        <v>0</v>
      </c>
      <c r="AC7" s="6"/>
      <c r="AD7" s="6">
        <v>121853</v>
      </c>
      <c r="AE7" s="43">
        <f>'$$xSchpostCouncil 22'!AE7/'$$xSchpostCouncil 22'!AE$123</f>
        <v>1</v>
      </c>
      <c r="AF7" s="43">
        <f>'$$xSchpostCouncil 22'!AF7/'$$xSchpostCouncil 22'!AF$123</f>
        <v>1</v>
      </c>
      <c r="AG7" s="43">
        <f>'$$xSchpostCouncil 22'!AG7/'$$xSchpostCouncil 22'!AG$123</f>
        <v>7</v>
      </c>
      <c r="AH7" s="43">
        <f>'$$xSchpostCouncil 22'!AH7/'$$xSchpostCouncil 22'!AH$123</f>
        <v>0</v>
      </c>
      <c r="AI7" s="43">
        <f>'$$xSchpostCouncil 22'!AI7/'$$xSchpostCouncil 22'!AI$123</f>
        <v>2</v>
      </c>
      <c r="AJ7" s="43"/>
      <c r="AK7" s="43">
        <f>'$$xSchpostCouncil 22'!AK7/'$$xSchpostCouncil 22'!AK$123</f>
        <v>0</v>
      </c>
      <c r="AL7" s="43">
        <f>'$$xSchpostCouncil 22'!AL7/'$$xSchpostCouncil 22'!AL$123</f>
        <v>0</v>
      </c>
      <c r="AM7" s="6"/>
      <c r="AN7" s="6"/>
      <c r="AO7" s="43">
        <f>'$$xSchpostCouncil 22'!AO7/'$$xSchpostCouncil 22'!AO$123</f>
        <v>0</v>
      </c>
      <c r="AP7" s="43">
        <f>'$$xSchpostCouncil 22'!AP7/'$$xSchpostCouncil 22'!AP$123</f>
        <v>0.36000142135046059</v>
      </c>
      <c r="AQ7" s="43">
        <f>'$$xSchpostCouncil 22'!AQ7/'$$xSchpostCouncil 22'!AQ$123</f>
        <v>0</v>
      </c>
      <c r="AR7" s="6"/>
      <c r="AS7" s="6">
        <f>47600-27200</f>
        <v>20400</v>
      </c>
      <c r="AT7" s="6">
        <f>47600-27200</f>
        <v>20400</v>
      </c>
      <c r="AU7" s="6">
        <v>10200</v>
      </c>
      <c r="AV7" s="6"/>
      <c r="AW7" s="6">
        <v>54400</v>
      </c>
      <c r="AX7" s="6"/>
      <c r="AY7" s="6"/>
      <c r="AZ7" s="6">
        <v>151898.74000000002</v>
      </c>
      <c r="BA7" s="6"/>
      <c r="BB7" s="6"/>
      <c r="BC7" s="43">
        <f>'$$xSchpostCouncil 22'!BC7/'$$xSchpostCouncil 22'!BC$123</f>
        <v>1</v>
      </c>
      <c r="BD7" s="43">
        <f>'$$xSchpostCouncil 22'!BD7/'$$xSchpostCouncil 22'!BD$123</f>
        <v>0</v>
      </c>
      <c r="BE7" s="6"/>
      <c r="BF7" s="6"/>
      <c r="BG7" s="6"/>
      <c r="BH7" s="43">
        <f>'$$xSchpostCouncil 22'!BH7/'$$xSchpostCouncil 22'!BH$123</f>
        <v>0</v>
      </c>
      <c r="BI7" s="6"/>
      <c r="BJ7" s="43">
        <f>'$$xSchpostCouncil 22'!BJ7/'$$xSchpostCouncil 22'!BJ$123</f>
        <v>0</v>
      </c>
      <c r="BK7" s="6"/>
      <c r="BL7" s="43">
        <f>'$$xSchpostCouncil 22'!BL7/'$$xSchpostCouncil 22'!BL$123</f>
        <v>0</v>
      </c>
      <c r="BM7" s="6"/>
      <c r="BN7" s="43">
        <f>'$$xSchpostCouncil 22'!BN7/'$$xSchpostCouncil 22'!BN$123</f>
        <v>0</v>
      </c>
      <c r="BO7" s="43">
        <f>'$$xSchpostCouncil 22'!BO7/'$$xSchpostCouncil 22'!BO$123</f>
        <v>0</v>
      </c>
      <c r="BP7" s="6"/>
      <c r="BQ7" s="6"/>
      <c r="BR7" s="6"/>
      <c r="BS7" s="6"/>
      <c r="BT7" s="6"/>
      <c r="BU7" s="43">
        <f>'$$xSchpostCouncil 22'!BU7/'$$xSchpostCouncil 22'!BU$123</f>
        <v>0</v>
      </c>
      <c r="BV7" s="43">
        <f>'$$xSchpostCouncil 22'!BV7/'$$xSchpostCouncil 22'!BV$123</f>
        <v>0</v>
      </c>
      <c r="BW7" s="43">
        <f>'$$xSchpostCouncil 22'!BW7/'$$xSchpostCouncil 22'!BW$123</f>
        <v>0</v>
      </c>
      <c r="BX7" s="6">
        <v>536682</v>
      </c>
      <c r="BY7" s="6"/>
      <c r="BZ7" s="6"/>
      <c r="CA7" s="6"/>
      <c r="CB7" s="6"/>
      <c r="CC7" s="6"/>
      <c r="CD7" s="6"/>
      <c r="CE7" s="6"/>
      <c r="CF7" s="6">
        <v>0</v>
      </c>
      <c r="CI7" s="43">
        <f>'$$xSchpostCouncil 22'!CI7/'$$xSchpostCouncil 22'!CI$123</f>
        <v>1</v>
      </c>
      <c r="CJ7" s="43">
        <f>'$$xSchpostCouncil 22'!CJ7/'$$xSchpostCouncil 22'!CJ$123</f>
        <v>0.79999872228149416</v>
      </c>
      <c r="CK7" s="43">
        <f>'$$xSchpostCouncil 22'!CK7/'$$xSchpostCouncil 22'!CK$123</f>
        <v>1</v>
      </c>
      <c r="CL7" s="43">
        <f>'$$xSchpostCouncil 22'!CL7/'$$xSchpostCouncil 22'!CL$123</f>
        <v>0</v>
      </c>
      <c r="CM7" s="43">
        <f>'$$xSchpostCouncil 22'!CM7/'$$xSchpostCouncil 22'!CM$123</f>
        <v>0</v>
      </c>
      <c r="CN7" s="43">
        <f>'$$xSchpostCouncil 22'!CN7/'$$xSchpostCouncil 22'!CN$123</f>
        <v>0</v>
      </c>
      <c r="CO7" s="43">
        <f>'$$xSchpostCouncil 22'!CO7/'$$xSchpostCouncil 22'!CO$123</f>
        <v>3</v>
      </c>
      <c r="CP7" s="43">
        <f>'$$xSchpostCouncil 22'!CP7/'$$xSchpostCouncil 22'!CP$123</f>
        <v>3</v>
      </c>
      <c r="CQ7" s="43">
        <f>'$$xSchpostCouncil 22'!CQ7/'$$xSchpostCouncil 22'!CQ$123</f>
        <v>13</v>
      </c>
      <c r="CR7" s="43">
        <f>'$$xSchpostCouncil 22'!CR7/'$$xSchpostCouncil 22'!CR$123</f>
        <v>0</v>
      </c>
      <c r="CS7" s="6"/>
      <c r="CT7" s="6"/>
      <c r="CU7" s="6"/>
      <c r="CV7" s="43">
        <f>'$$xSchpostCouncil 22'!CV7/'$$xSchpostCouncil 22'!CV$123</f>
        <v>0</v>
      </c>
      <c r="CW7" s="43">
        <f>'$$xSchpostCouncil 22'!CW7/'$$xSchpostCouncil 22'!CW$123</f>
        <v>0</v>
      </c>
      <c r="CX7" s="6">
        <v>0</v>
      </c>
      <c r="CY7" s="6"/>
      <c r="CZ7" s="6"/>
      <c r="DB7" s="43">
        <f>'$$xSchpostCouncil 22'!DB7/'$$xSchpostCouncil 22'!DB$123</f>
        <v>0</v>
      </c>
      <c r="DC7" s="43">
        <f>'$$xSchpostCouncil 22'!DC7/'$$xSchpostCouncil 22'!DC$123</f>
        <v>0</v>
      </c>
      <c r="DF7" s="43">
        <f>'$$xSchpostCouncil 22'!DF7/'$$xSchpostCouncil 22'!DF$123</f>
        <v>0</v>
      </c>
      <c r="DG7" s="43">
        <f>'$$xSchpostCouncil 22'!DG7/'$$xSchpostCouncil 22'!DG$123</f>
        <v>0</v>
      </c>
      <c r="DH7" s="43">
        <f>'$$xSchpostCouncil 22'!DH7/'$$xSchpostCouncil 22'!DH$123</f>
        <v>0</v>
      </c>
      <c r="DI7" s="43">
        <f>'$$xSchpostCouncil 22'!DI7/'$$xSchpostCouncil 22'!DI$123</f>
        <v>0</v>
      </c>
      <c r="DJ7" s="43">
        <f>'$$xSchpostCouncil 22'!DJ7/'$$xSchpostCouncil 22'!DJ$123</f>
        <v>0</v>
      </c>
      <c r="DK7" s="43">
        <f>'$$xSchpostCouncil 22'!DK7/'$$xSchpostCouncil 22'!DK$123</f>
        <v>0</v>
      </c>
      <c r="DL7" s="6">
        <v>4243</v>
      </c>
      <c r="DM7" s="6"/>
      <c r="DN7" s="43">
        <f>'$$xSchpostCouncil 22'!DN7/'$$xSchpostCouncil 22'!DN$123</f>
        <v>0</v>
      </c>
      <c r="DO7" s="6"/>
      <c r="DP7" s="6">
        <v>25350</v>
      </c>
      <c r="DU7" s="6">
        <f>VLOOKUP($A7,[3]Totals!$B$2:$K$119,10,FALSE)</f>
        <v>207970.41</v>
      </c>
      <c r="DV7" s="6">
        <f>VLOOKUP($A7,[3]Totals!$B$2:$K$119,9,FALSE)</f>
        <v>229655</v>
      </c>
    </row>
    <row r="8" spans="1:126" x14ac:dyDescent="0.2">
      <c r="A8" s="3">
        <v>450</v>
      </c>
      <c r="B8" s="2" t="s">
        <v>122</v>
      </c>
      <c r="C8" t="s">
        <v>1</v>
      </c>
      <c r="D8">
        <v>8</v>
      </c>
      <c r="E8" s="1">
        <v>357</v>
      </c>
      <c r="F8" s="4">
        <v>0.83499999999999996</v>
      </c>
      <c r="G8">
        <v>298</v>
      </c>
      <c r="H8" s="43">
        <f>'$$xSchpostCouncil 22'!H8/'$$xSchpostCouncil 22'!H$123</f>
        <v>1</v>
      </c>
      <c r="I8" s="43">
        <f>'$$xSchpostCouncil 22'!I8/'$$xSchpostCouncil 22'!I$123</f>
        <v>0</v>
      </c>
      <c r="J8" s="43">
        <f>'$$xSchpostCouncil 22'!J8/'$$xSchpostCouncil 22'!J$123</f>
        <v>1.5</v>
      </c>
      <c r="K8" s="43">
        <f>'$$xSchpostCouncil 22'!K8/'$$xSchpostCouncil 22'!K$123</f>
        <v>1</v>
      </c>
      <c r="L8" s="6">
        <v>9959</v>
      </c>
      <c r="M8" s="43">
        <f>'$$xSchpostCouncil 22'!M8/'$$xSchpostCouncil 22'!M$123</f>
        <v>1</v>
      </c>
      <c r="N8" s="43">
        <f>'$$xSchpostCouncil 22'!N8/'$$xSchpostCouncil 22'!N$123</f>
        <v>1</v>
      </c>
      <c r="O8" s="43">
        <f>'$$xSchpostCouncil 22'!O8/'$$xSchpostCouncil 22'!O$123</f>
        <v>6</v>
      </c>
      <c r="P8" s="43">
        <f>'$$xSchpostCouncil 22'!P8/'$$xSchpostCouncil 22'!P$123</f>
        <v>1</v>
      </c>
      <c r="Q8" s="43">
        <f>'$$xSchpostCouncil 22'!Q8/'$$xSchpostCouncil 22'!Q$123</f>
        <v>0</v>
      </c>
      <c r="R8" s="43">
        <f>'$$xSchpostCouncil 22'!R8/'$$xSchpostCouncil 22'!R$123</f>
        <v>0</v>
      </c>
      <c r="S8" s="43">
        <f>'$$xSchpostCouncil 22'!S8/'$$xSchpostCouncil 22'!S$123</f>
        <v>0</v>
      </c>
      <c r="T8" s="43">
        <f>'$$xSchpostCouncil 22'!T8/'$$xSchpostCouncil 22'!T$123</f>
        <v>0</v>
      </c>
      <c r="U8" s="6"/>
      <c r="V8" s="6"/>
      <c r="W8" s="6"/>
      <c r="X8" s="6"/>
      <c r="Y8" s="43">
        <f>'$$xSchpostCouncil 22'!Y8/'$$xSchpostCouncil 22'!Y$123</f>
        <v>0</v>
      </c>
      <c r="Z8" s="43">
        <f>'$$xSchpostCouncil 22'!Z8/'$$xSchpostCouncil 22'!Z$123</f>
        <v>0</v>
      </c>
      <c r="AA8" s="43">
        <f>'$$xSchpostCouncil 22'!AA8/'$$xSchpostCouncil 22'!AA$123</f>
        <v>0</v>
      </c>
      <c r="AB8" s="43">
        <f>'$$xSchpostCouncil 22'!AB8/'$$xSchpostCouncil 22'!AB$123</f>
        <v>0</v>
      </c>
      <c r="AC8" s="6"/>
      <c r="AD8" s="6">
        <v>191994</v>
      </c>
      <c r="AE8" s="43">
        <f>'$$xSchpostCouncil 22'!AE8/'$$xSchpostCouncil 22'!AE$123</f>
        <v>1</v>
      </c>
      <c r="AF8" s="43">
        <f>'$$xSchpostCouncil 22'!AF8/'$$xSchpostCouncil 22'!AF$123</f>
        <v>4</v>
      </c>
      <c r="AG8" s="43">
        <f>'$$xSchpostCouncil 22'!AG8/'$$xSchpostCouncil 22'!AG$123</f>
        <v>14</v>
      </c>
      <c r="AH8" s="43">
        <f>'$$xSchpostCouncil 22'!AH8/'$$xSchpostCouncil 22'!AH$123</f>
        <v>0</v>
      </c>
      <c r="AI8" s="43">
        <f>'$$xSchpostCouncil 22'!AI8/'$$xSchpostCouncil 22'!AI$123</f>
        <v>10</v>
      </c>
      <c r="AJ8" s="43"/>
      <c r="AK8" s="43">
        <f>'$$xSchpostCouncil 22'!AK8/'$$xSchpostCouncil 22'!AK$123</f>
        <v>2</v>
      </c>
      <c r="AL8" s="43">
        <f>'$$xSchpostCouncil 22'!AL8/'$$xSchpostCouncil 22'!AL$123</f>
        <v>0</v>
      </c>
      <c r="AM8" s="6"/>
      <c r="AN8" s="6"/>
      <c r="AO8" s="43">
        <f>'$$xSchpostCouncil 22'!AO8/'$$xSchpostCouncil 22'!AO$123</f>
        <v>0</v>
      </c>
      <c r="AP8" s="43">
        <f>'$$xSchpostCouncil 22'!AP8/'$$xSchpostCouncil 22'!AP$123</f>
        <v>4.9996002451829544E-2</v>
      </c>
      <c r="AQ8" s="43">
        <f>'$$xSchpostCouncil 22'!AQ8/'$$xSchpostCouncil 22'!AQ$123</f>
        <v>0</v>
      </c>
      <c r="AR8" s="6"/>
      <c r="AS8" s="6"/>
      <c r="AT8" s="6"/>
      <c r="AU8" s="6"/>
      <c r="AV8" s="6">
        <v>60000</v>
      </c>
      <c r="AW8" s="6">
        <v>0</v>
      </c>
      <c r="AX8" s="6"/>
      <c r="AY8" s="6"/>
      <c r="AZ8" s="6">
        <v>382054.5</v>
      </c>
      <c r="BA8" s="6"/>
      <c r="BB8" s="6"/>
      <c r="BC8" s="43">
        <f>'$$xSchpostCouncil 22'!BC8/'$$xSchpostCouncil 22'!BC$123</f>
        <v>0</v>
      </c>
      <c r="BD8" s="43">
        <f>'$$xSchpostCouncil 22'!BD8/'$$xSchpostCouncil 22'!BD$123</f>
        <v>1</v>
      </c>
      <c r="BE8" s="6">
        <v>9336</v>
      </c>
      <c r="BF8" s="6">
        <v>25880</v>
      </c>
      <c r="BG8" s="6">
        <v>32000</v>
      </c>
      <c r="BH8" s="43">
        <f>'$$xSchpostCouncil 22'!BH8/'$$xSchpostCouncil 22'!BH$123</f>
        <v>0</v>
      </c>
      <c r="BI8" s="6"/>
      <c r="BJ8" s="43">
        <f>'$$xSchpostCouncil 22'!BJ8/'$$xSchpostCouncil 22'!BJ$123</f>
        <v>0</v>
      </c>
      <c r="BK8" s="6"/>
      <c r="BL8" s="43">
        <f>'$$xSchpostCouncil 22'!BL8/'$$xSchpostCouncil 22'!BL$123</f>
        <v>0</v>
      </c>
      <c r="BM8" s="6"/>
      <c r="BN8" s="43">
        <f>'$$xSchpostCouncil 22'!BN8/'$$xSchpostCouncil 22'!BN$123</f>
        <v>0</v>
      </c>
      <c r="BO8" s="43">
        <f>'$$xSchpostCouncil 22'!BO8/'$$xSchpostCouncil 22'!BO$123</f>
        <v>0</v>
      </c>
      <c r="BP8" s="6"/>
      <c r="BQ8" s="6"/>
      <c r="BR8" s="6"/>
      <c r="BS8" s="6"/>
      <c r="BT8" s="6"/>
      <c r="BU8" s="43">
        <f>'$$xSchpostCouncil 22'!BU8/'$$xSchpostCouncil 22'!BU$123</f>
        <v>2.6315789473684209E-2</v>
      </c>
      <c r="BV8" s="43">
        <f>'$$xSchpostCouncil 22'!BV8/'$$xSchpostCouncil 22'!BV$123</f>
        <v>0</v>
      </c>
      <c r="BW8" s="43">
        <f>'$$xSchpostCouncil 22'!BW8/'$$xSchpostCouncil 22'!BW$123</f>
        <v>0</v>
      </c>
      <c r="BX8" s="6">
        <v>836401</v>
      </c>
      <c r="BY8" s="6"/>
      <c r="BZ8" s="6"/>
      <c r="CA8" s="6"/>
      <c r="CB8" s="6"/>
      <c r="CC8" s="6">
        <v>166560</v>
      </c>
      <c r="CD8" s="6"/>
      <c r="CE8" s="6"/>
      <c r="CF8" s="6">
        <v>117086</v>
      </c>
      <c r="CI8" s="43">
        <f>'$$xSchpostCouncil 22'!CI8/'$$xSchpostCouncil 22'!CI$123</f>
        <v>1</v>
      </c>
      <c r="CJ8" s="43">
        <f>'$$xSchpostCouncil 22'!CJ8/'$$xSchpostCouncil 22'!CJ$123</f>
        <v>1.2000012777185058</v>
      </c>
      <c r="CK8" s="43">
        <f>'$$xSchpostCouncil 22'!CK8/'$$xSchpostCouncil 22'!CK$123</f>
        <v>1</v>
      </c>
      <c r="CL8" s="43">
        <f>'$$xSchpostCouncil 22'!CL8/'$$xSchpostCouncil 22'!CL$123</f>
        <v>0</v>
      </c>
      <c r="CM8" s="43">
        <f>'$$xSchpostCouncil 22'!CM8/'$$xSchpostCouncil 22'!CM$123</f>
        <v>1</v>
      </c>
      <c r="CN8" s="43">
        <f>'$$xSchpostCouncil 22'!CN8/'$$xSchpostCouncil 22'!CN$123</f>
        <v>1</v>
      </c>
      <c r="CO8" s="43">
        <f>'$$xSchpostCouncil 22'!CO8/'$$xSchpostCouncil 22'!CO$123</f>
        <v>0</v>
      </c>
      <c r="CP8" s="43">
        <f>'$$xSchpostCouncil 22'!CP8/'$$xSchpostCouncil 22'!CP$123</f>
        <v>0</v>
      </c>
      <c r="CQ8" s="43">
        <f>'$$xSchpostCouncil 22'!CQ8/'$$xSchpostCouncil 22'!CQ$123</f>
        <v>14.874999289324769</v>
      </c>
      <c r="CR8" s="43">
        <f>'$$xSchpostCouncil 22'!CR8/'$$xSchpostCouncil 22'!CR$123</f>
        <v>0</v>
      </c>
      <c r="CS8" s="6"/>
      <c r="CT8" s="6"/>
      <c r="CU8" s="6"/>
      <c r="CV8" s="43">
        <f>'$$xSchpostCouncil 22'!CV8/'$$xSchpostCouncil 22'!CV$123</f>
        <v>1</v>
      </c>
      <c r="CW8" s="43">
        <f>'$$xSchpostCouncil 22'!CW8/'$$xSchpostCouncil 22'!CW$123</f>
        <v>0</v>
      </c>
      <c r="CX8" s="6">
        <v>0</v>
      </c>
      <c r="CY8" s="6">
        <v>75000</v>
      </c>
      <c r="CZ8" s="6"/>
      <c r="DB8" s="43">
        <f>'$$xSchpostCouncil 22'!DB8/'$$xSchpostCouncil 22'!DB$123</f>
        <v>0</v>
      </c>
      <c r="DC8" s="43">
        <f>'$$xSchpostCouncil 22'!DC8/'$$xSchpostCouncil 22'!DC$123</f>
        <v>0</v>
      </c>
      <c r="DF8" s="43">
        <f>'$$xSchpostCouncil 22'!DF8/'$$xSchpostCouncil 22'!DF$123</f>
        <v>1</v>
      </c>
      <c r="DG8" s="43">
        <f>'$$xSchpostCouncil 22'!DG8/'$$xSchpostCouncil 22'!DG$123</f>
        <v>0</v>
      </c>
      <c r="DH8" s="43">
        <f>'$$xSchpostCouncil 22'!DH8/'$$xSchpostCouncil 22'!DH$123</f>
        <v>9.4450000000000003</v>
      </c>
      <c r="DI8" s="43">
        <f>'$$xSchpostCouncil 22'!DI8/'$$xSchpostCouncil 22'!DI$123</f>
        <v>0</v>
      </c>
      <c r="DJ8" s="43">
        <f>'$$xSchpostCouncil 22'!DJ8/'$$xSchpostCouncil 22'!DJ$123</f>
        <v>0</v>
      </c>
      <c r="DK8" s="43">
        <f>'$$xSchpostCouncil 22'!DK8/'$$xSchpostCouncil 22'!DK$123</f>
        <v>0</v>
      </c>
      <c r="DL8" s="6">
        <v>11972</v>
      </c>
      <c r="DM8" s="6"/>
      <c r="DN8" s="43">
        <f>'$$xSchpostCouncil 22'!DN8/'$$xSchpostCouncil 22'!DN$123</f>
        <v>1</v>
      </c>
      <c r="DO8" s="6"/>
      <c r="DP8" s="6">
        <v>10725</v>
      </c>
      <c r="DU8" s="6">
        <f>VLOOKUP($A8,[3]Totals!$B$2:$K$119,10,FALSE)</f>
        <v>174913.35</v>
      </c>
      <c r="DV8" s="6">
        <f>VLOOKUP($A8,[3]Totals!$B$2:$K$119,9,FALSE)</f>
        <v>50639</v>
      </c>
    </row>
    <row r="9" spans="1:126" x14ac:dyDescent="0.2">
      <c r="A9" s="3">
        <v>452</v>
      </c>
      <c r="B9" s="2" t="s">
        <v>121</v>
      </c>
      <c r="C9" t="s">
        <v>1</v>
      </c>
      <c r="D9">
        <v>8</v>
      </c>
      <c r="E9" s="1">
        <v>698</v>
      </c>
      <c r="F9" s="4">
        <v>0.85099999999999998</v>
      </c>
      <c r="G9">
        <v>594</v>
      </c>
      <c r="H9" s="43">
        <f>'$$xSchpostCouncil 22'!H9/'$$xSchpostCouncil 22'!H$123</f>
        <v>1</v>
      </c>
      <c r="I9" s="43">
        <f>'$$xSchpostCouncil 22'!I9/'$$xSchpostCouncil 22'!I$123</f>
        <v>0</v>
      </c>
      <c r="J9" s="43">
        <f>'$$xSchpostCouncil 22'!J9/'$$xSchpostCouncil 22'!J$123</f>
        <v>3</v>
      </c>
      <c r="K9" s="43">
        <f>'$$xSchpostCouncil 22'!K9/'$$xSchpostCouncil 22'!K$123</f>
        <v>1</v>
      </c>
      <c r="L9" s="6">
        <v>13909</v>
      </c>
      <c r="M9" s="43">
        <f>'$$xSchpostCouncil 22'!M9/'$$xSchpostCouncil 22'!M$123</f>
        <v>1</v>
      </c>
      <c r="N9" s="43">
        <f>'$$xSchpostCouncil 22'!N9/'$$xSchpostCouncil 22'!N$123</f>
        <v>1</v>
      </c>
      <c r="O9" s="43">
        <f>'$$xSchpostCouncil 22'!O9/'$$xSchpostCouncil 22'!O$123</f>
        <v>9</v>
      </c>
      <c r="P9" s="43">
        <f>'$$xSchpostCouncil 22'!P9/'$$xSchpostCouncil 22'!P$123</f>
        <v>1</v>
      </c>
      <c r="Q9" s="43">
        <f>'$$xSchpostCouncil 22'!Q9/'$$xSchpostCouncil 22'!Q$123</f>
        <v>0</v>
      </c>
      <c r="R9" s="43">
        <f>'$$xSchpostCouncil 22'!R9/'$$xSchpostCouncil 22'!R$123</f>
        <v>0</v>
      </c>
      <c r="S9" s="43">
        <f>'$$xSchpostCouncil 22'!S9/'$$xSchpostCouncil 22'!S$123</f>
        <v>0</v>
      </c>
      <c r="T9" s="43">
        <f>'$$xSchpostCouncil 22'!T9/'$$xSchpostCouncil 22'!T$123</f>
        <v>0</v>
      </c>
      <c r="U9" s="6"/>
      <c r="V9" s="6"/>
      <c r="W9" s="6"/>
      <c r="X9" s="6"/>
      <c r="Y9" s="43">
        <f>'$$xSchpostCouncil 22'!Y9/'$$xSchpostCouncil 22'!Y$123</f>
        <v>0</v>
      </c>
      <c r="Z9" s="43">
        <f>'$$xSchpostCouncil 22'!Z9/'$$xSchpostCouncil 22'!Z$123</f>
        <v>0</v>
      </c>
      <c r="AA9" s="43">
        <f>'$$xSchpostCouncil 22'!AA9/'$$xSchpostCouncil 22'!AA$123</f>
        <v>0</v>
      </c>
      <c r="AB9" s="43">
        <f>'$$xSchpostCouncil 22'!AB9/'$$xSchpostCouncil 22'!AB$123</f>
        <v>0</v>
      </c>
      <c r="AC9" s="6"/>
      <c r="AD9" s="6">
        <v>315580</v>
      </c>
      <c r="AE9" s="43">
        <f>'$$xSchpostCouncil 22'!AE9/'$$xSchpostCouncil 22'!AE$123</f>
        <v>2</v>
      </c>
      <c r="AF9" s="43">
        <f>'$$xSchpostCouncil 22'!AF9/'$$xSchpostCouncil 22'!AF$123</f>
        <v>5</v>
      </c>
      <c r="AG9" s="43">
        <f>'$$xSchpostCouncil 22'!AG9/'$$xSchpostCouncil 22'!AG$123</f>
        <v>18</v>
      </c>
      <c r="AH9" s="43">
        <f>'$$xSchpostCouncil 22'!AH9/'$$xSchpostCouncil 22'!AH$123</f>
        <v>0</v>
      </c>
      <c r="AI9" s="43">
        <f>'$$xSchpostCouncil 22'!AI9/'$$xSchpostCouncil 22'!AI$123</f>
        <v>7</v>
      </c>
      <c r="AJ9" s="43"/>
      <c r="AK9" s="43">
        <f>'$$xSchpostCouncil 22'!AK9/'$$xSchpostCouncil 22'!AK$123</f>
        <v>2</v>
      </c>
      <c r="AL9" s="43">
        <f>'$$xSchpostCouncil 22'!AL9/'$$xSchpostCouncil 22'!AL$123</f>
        <v>0</v>
      </c>
      <c r="AM9" s="6"/>
      <c r="AN9" s="6"/>
      <c r="AO9" s="43">
        <f>'$$xSchpostCouncil 22'!AO9/'$$xSchpostCouncil 22'!AO$123</f>
        <v>1</v>
      </c>
      <c r="AP9" s="43">
        <f>'$$xSchpostCouncil 22'!AP9/'$$xSchpostCouncil 22'!AP$123</f>
        <v>0</v>
      </c>
      <c r="AQ9" s="43">
        <f>'$$xSchpostCouncil 22'!AQ9/'$$xSchpostCouncil 22'!AQ$123</f>
        <v>0</v>
      </c>
      <c r="AR9" s="6"/>
      <c r="AS9" s="6"/>
      <c r="AT9" s="6"/>
      <c r="AU9" s="6"/>
      <c r="AV9" s="6">
        <v>70000</v>
      </c>
      <c r="AW9" s="6">
        <v>0</v>
      </c>
      <c r="AX9" s="6"/>
      <c r="AY9" s="6"/>
      <c r="AZ9" s="6">
        <v>546672.42000000004</v>
      </c>
      <c r="BA9" s="6"/>
      <c r="BB9" s="6"/>
      <c r="BC9" s="43">
        <f>'$$xSchpostCouncil 22'!BC9/'$$xSchpostCouncil 22'!BC$123</f>
        <v>0</v>
      </c>
      <c r="BD9" s="43">
        <f>'$$xSchpostCouncil 22'!BD9/'$$xSchpostCouncil 22'!BD$123</f>
        <v>1</v>
      </c>
      <c r="BE9" s="6">
        <v>23216</v>
      </c>
      <c r="BF9" s="6">
        <v>22000</v>
      </c>
      <c r="BG9" s="6">
        <v>32000</v>
      </c>
      <c r="BH9" s="43">
        <f>'$$xSchpostCouncil 22'!BH9/'$$xSchpostCouncil 22'!BH$123</f>
        <v>0</v>
      </c>
      <c r="BI9" s="6"/>
      <c r="BJ9" s="43">
        <f>'$$xSchpostCouncil 22'!BJ9/'$$xSchpostCouncil 22'!BJ$123</f>
        <v>0</v>
      </c>
      <c r="BK9" s="6"/>
      <c r="BL9" s="43">
        <f>'$$xSchpostCouncil 22'!BL9/'$$xSchpostCouncil 22'!BL$123</f>
        <v>0</v>
      </c>
      <c r="BM9" s="6"/>
      <c r="BN9" s="43">
        <f>'$$xSchpostCouncil 22'!BN9/'$$xSchpostCouncil 22'!BN$123</f>
        <v>1</v>
      </c>
      <c r="BO9" s="43">
        <f>'$$xSchpostCouncil 22'!BO9/'$$xSchpostCouncil 22'!BO$123</f>
        <v>0</v>
      </c>
      <c r="BP9" s="6">
        <v>113946</v>
      </c>
      <c r="BQ9" s="6">
        <v>5000</v>
      </c>
      <c r="BR9" s="6"/>
      <c r="BS9" s="6"/>
      <c r="BT9" s="6"/>
      <c r="BU9" s="43">
        <f>'$$xSchpostCouncil 22'!BU9/'$$xSchpostCouncil 22'!BU$123</f>
        <v>5.2631578947368418E-2</v>
      </c>
      <c r="BV9" s="43">
        <f>'$$xSchpostCouncil 22'!BV9/'$$xSchpostCouncil 22'!BV$123</f>
        <v>1</v>
      </c>
      <c r="BW9" s="43">
        <f>'$$xSchpostCouncil 22'!BW9/'$$xSchpostCouncil 22'!BW$123</f>
        <v>0</v>
      </c>
      <c r="BX9" s="6">
        <v>1667189</v>
      </c>
      <c r="BY9" s="6"/>
      <c r="BZ9" s="6"/>
      <c r="CA9" s="6"/>
      <c r="CB9" s="6"/>
      <c r="CC9" s="6"/>
      <c r="CD9" s="6"/>
      <c r="CE9" s="6"/>
      <c r="CF9" s="6">
        <v>0</v>
      </c>
      <c r="CI9" s="43">
        <f>'$$xSchpostCouncil 22'!CI9/'$$xSchpostCouncil 22'!CI$123</f>
        <v>1</v>
      </c>
      <c r="CJ9" s="43">
        <f>'$$xSchpostCouncil 22'!CJ9/'$$xSchpostCouncil 22'!CJ$123</f>
        <v>2.3000019165777585</v>
      </c>
      <c r="CK9" s="43">
        <f>'$$xSchpostCouncil 22'!CK9/'$$xSchpostCouncil 22'!CK$123</f>
        <v>1</v>
      </c>
      <c r="CL9" s="43">
        <f>'$$xSchpostCouncil 22'!CL9/'$$xSchpostCouncil 22'!CL$123</f>
        <v>1.6999940757123957</v>
      </c>
      <c r="CM9" s="43">
        <f>'$$xSchpostCouncil 22'!CM9/'$$xSchpostCouncil 22'!CM$123</f>
        <v>1</v>
      </c>
      <c r="CN9" s="43">
        <f>'$$xSchpostCouncil 22'!CN9/'$$xSchpostCouncil 22'!CN$123</f>
        <v>1</v>
      </c>
      <c r="CO9" s="43">
        <f>'$$xSchpostCouncil 22'!CO9/'$$xSchpostCouncil 22'!CO$123</f>
        <v>0</v>
      </c>
      <c r="CP9" s="43">
        <f>'$$xSchpostCouncil 22'!CP9/'$$xSchpostCouncil 22'!CP$123</f>
        <v>0</v>
      </c>
      <c r="CQ9" s="43">
        <f>'$$xSchpostCouncil 22'!CQ9/'$$xSchpostCouncil 22'!CQ$123</f>
        <v>29.083331467810851</v>
      </c>
      <c r="CR9" s="43">
        <f>'$$xSchpostCouncil 22'!CR9/'$$xSchpostCouncil 22'!CR$123</f>
        <v>0</v>
      </c>
      <c r="CS9" s="6"/>
      <c r="CT9" s="6"/>
      <c r="CU9" s="6"/>
      <c r="CV9" s="43">
        <f>'$$xSchpostCouncil 22'!CV9/'$$xSchpostCouncil 22'!CV$123</f>
        <v>1</v>
      </c>
      <c r="CW9" s="43">
        <f>'$$xSchpostCouncil 22'!CW9/'$$xSchpostCouncil 22'!CW$123</f>
        <v>0</v>
      </c>
      <c r="CX9" s="6">
        <v>25702</v>
      </c>
      <c r="CY9" s="6">
        <v>75000</v>
      </c>
      <c r="CZ9" s="6"/>
      <c r="DB9" s="43">
        <f>'$$xSchpostCouncil 22'!DB9/'$$xSchpostCouncil 22'!DB$123</f>
        <v>0</v>
      </c>
      <c r="DC9" s="43">
        <f>'$$xSchpostCouncil 22'!DC9/'$$xSchpostCouncil 22'!DC$123</f>
        <v>0</v>
      </c>
      <c r="DF9" s="43">
        <f>'$$xSchpostCouncil 22'!DF9/'$$xSchpostCouncil 22'!DF$123</f>
        <v>1</v>
      </c>
      <c r="DG9" s="43">
        <f>'$$xSchpostCouncil 22'!DG9/'$$xSchpostCouncil 22'!DG$123</f>
        <v>0</v>
      </c>
      <c r="DH9" s="43">
        <f>'$$xSchpostCouncil 22'!DH9/'$$xSchpostCouncil 22'!DH$123</f>
        <v>11.006666666666671</v>
      </c>
      <c r="DI9" s="43">
        <f>'$$xSchpostCouncil 22'!DI9/'$$xSchpostCouncil 22'!DI$123</f>
        <v>0</v>
      </c>
      <c r="DJ9" s="43">
        <f>'$$xSchpostCouncil 22'!DJ9/'$$xSchpostCouncil 22'!DJ$123</f>
        <v>0</v>
      </c>
      <c r="DK9" s="43">
        <f>'$$xSchpostCouncil 22'!DK9/'$$xSchpostCouncil 22'!DK$123</f>
        <v>0</v>
      </c>
      <c r="DL9" s="6">
        <v>23798</v>
      </c>
      <c r="DM9" s="6"/>
      <c r="DN9" s="43">
        <f>'$$xSchpostCouncil 22'!DN9/'$$xSchpostCouncil 22'!DN$123</f>
        <v>1</v>
      </c>
      <c r="DO9" s="6"/>
      <c r="DP9" s="6">
        <v>44625</v>
      </c>
      <c r="DU9" s="6">
        <f>VLOOKUP($A9,[3]Totals!$B$2:$K$119,10,FALSE)</f>
        <v>365689.27</v>
      </c>
      <c r="DV9" s="6">
        <f>VLOOKUP($A9,[3]Totals!$B$2:$K$119,9,FALSE)</f>
        <v>292718</v>
      </c>
    </row>
    <row r="10" spans="1:126" x14ac:dyDescent="0.2">
      <c r="A10" s="3">
        <v>462</v>
      </c>
      <c r="B10" s="2" t="s">
        <v>120</v>
      </c>
      <c r="C10" t="s">
        <v>35</v>
      </c>
      <c r="D10">
        <v>8</v>
      </c>
      <c r="E10" s="1">
        <v>469</v>
      </c>
      <c r="F10" s="4">
        <v>0</v>
      </c>
      <c r="G10">
        <v>0</v>
      </c>
      <c r="H10" s="43">
        <f>'$$xSchpostCouncil 22'!H10/'$$xSchpostCouncil 22'!H$123</f>
        <v>1</v>
      </c>
      <c r="I10" s="43">
        <f>'$$xSchpostCouncil 22'!I10/'$$xSchpostCouncil 22'!I$123</f>
        <v>0</v>
      </c>
      <c r="J10" s="43">
        <f>'$$xSchpostCouncil 22'!J10/'$$xSchpostCouncil 22'!J$123</f>
        <v>2</v>
      </c>
      <c r="K10" s="43">
        <f>'$$xSchpostCouncil 22'!K10/'$$xSchpostCouncil 22'!K$123</f>
        <v>1</v>
      </c>
      <c r="L10" s="6">
        <v>5974</v>
      </c>
      <c r="M10" s="43">
        <f>'$$xSchpostCouncil 22'!M10/'$$xSchpostCouncil 22'!M$123</f>
        <v>1</v>
      </c>
      <c r="N10" s="43">
        <f>'$$xSchpostCouncil 22'!N10/'$$xSchpostCouncil 22'!N$123</f>
        <v>1</v>
      </c>
      <c r="O10" s="43">
        <f>'$$xSchpostCouncil 22'!O10/'$$xSchpostCouncil 22'!O$123</f>
        <v>1</v>
      </c>
      <c r="P10" s="43">
        <f>'$$xSchpostCouncil 22'!P10/'$$xSchpostCouncil 22'!P$123</f>
        <v>1.0000006218408266</v>
      </c>
      <c r="Q10" s="43">
        <f>'$$xSchpostCouncil 22'!Q10/'$$xSchpostCouncil 22'!Q$123</f>
        <v>0</v>
      </c>
      <c r="R10" s="43">
        <f>'$$xSchpostCouncil 22'!R10/'$$xSchpostCouncil 22'!R$123</f>
        <v>0</v>
      </c>
      <c r="S10" s="43">
        <f>'$$xSchpostCouncil 22'!S10/'$$xSchpostCouncil 22'!S$123</f>
        <v>0</v>
      </c>
      <c r="T10" s="43">
        <f>'$$xSchpostCouncil 22'!T10/'$$xSchpostCouncil 22'!T$123</f>
        <v>0</v>
      </c>
      <c r="U10" s="6"/>
      <c r="V10" s="6"/>
      <c r="W10" s="6"/>
      <c r="X10" s="6"/>
      <c r="Y10" s="43">
        <f>'$$xSchpostCouncil 22'!Y10/'$$xSchpostCouncil 22'!Y$123</f>
        <v>0</v>
      </c>
      <c r="Z10" s="43">
        <f>'$$xSchpostCouncil 22'!Z10/'$$xSchpostCouncil 22'!Z$123</f>
        <v>0</v>
      </c>
      <c r="AA10" s="43">
        <f>'$$xSchpostCouncil 22'!AA10/'$$xSchpostCouncil 22'!AA$123</f>
        <v>0</v>
      </c>
      <c r="AB10" s="43">
        <f>'$$xSchpostCouncil 22'!AB10/'$$xSchpostCouncil 22'!AB$123</f>
        <v>0</v>
      </c>
      <c r="AC10" s="6"/>
      <c r="AD10" s="6">
        <v>179295</v>
      </c>
      <c r="AE10" s="43">
        <f>'$$xSchpostCouncil 22'!AE10/'$$xSchpostCouncil 22'!AE$123</f>
        <v>1</v>
      </c>
      <c r="AF10" s="43">
        <f>'$$xSchpostCouncil 22'!AF10/'$$xSchpostCouncil 22'!AF$123</f>
        <v>3</v>
      </c>
      <c r="AG10" s="43">
        <f>'$$xSchpostCouncil 22'!AG10/'$$xSchpostCouncil 22'!AG$123</f>
        <v>10</v>
      </c>
      <c r="AH10" s="43">
        <f>'$$xSchpostCouncil 22'!AH10/'$$xSchpostCouncil 22'!AH$123</f>
        <v>0</v>
      </c>
      <c r="AI10" s="43">
        <f>'$$xSchpostCouncil 22'!AI10/'$$xSchpostCouncil 22'!AI$123</f>
        <v>2</v>
      </c>
      <c r="AJ10" s="43"/>
      <c r="AK10" s="43">
        <f>'$$xSchpostCouncil 22'!AK10/'$$xSchpostCouncil 22'!AK$123</f>
        <v>1</v>
      </c>
      <c r="AL10" s="43">
        <f>'$$xSchpostCouncil 22'!AL10/'$$xSchpostCouncil 22'!AL$123</f>
        <v>0</v>
      </c>
      <c r="AM10" s="6"/>
      <c r="AN10" s="6"/>
      <c r="AO10" s="43">
        <f>'$$xSchpostCouncil 22'!AO10/'$$xSchpostCouncil 22'!AO$123</f>
        <v>0</v>
      </c>
      <c r="AP10" s="43">
        <f>'$$xSchpostCouncil 22'!AP10/'$$xSchpostCouncil 22'!AP$123</f>
        <v>0.23000115484724926</v>
      </c>
      <c r="AQ10" s="43">
        <f>'$$xSchpostCouncil 22'!AQ10/'$$xSchpostCouncil 22'!AQ$123</f>
        <v>0</v>
      </c>
      <c r="AR10" s="6"/>
      <c r="AS10" s="6"/>
      <c r="AT10" s="6"/>
      <c r="AU10" s="6"/>
      <c r="AV10" s="6">
        <v>70000</v>
      </c>
      <c r="AW10" s="6">
        <v>0</v>
      </c>
      <c r="AX10" s="6"/>
      <c r="AY10" s="6"/>
      <c r="AZ10" s="6">
        <v>0</v>
      </c>
      <c r="BA10" s="6"/>
      <c r="BB10" s="6">
        <v>11725</v>
      </c>
      <c r="BC10" s="43">
        <f>'$$xSchpostCouncil 22'!BC10/'$$xSchpostCouncil 22'!BC$123</f>
        <v>0</v>
      </c>
      <c r="BD10" s="43">
        <f>'$$xSchpostCouncil 22'!BD10/'$$xSchpostCouncil 22'!BD$123</f>
        <v>0</v>
      </c>
      <c r="BE10" s="6"/>
      <c r="BF10" s="6"/>
      <c r="BG10" s="6"/>
      <c r="BH10" s="43">
        <f>'$$xSchpostCouncil 22'!BH10/'$$xSchpostCouncil 22'!BH$123</f>
        <v>0</v>
      </c>
      <c r="BI10" s="6"/>
      <c r="BJ10" s="43">
        <f>'$$xSchpostCouncil 22'!BJ10/'$$xSchpostCouncil 22'!BJ$123</f>
        <v>0</v>
      </c>
      <c r="BK10" s="6"/>
      <c r="BL10" s="43">
        <f>'$$xSchpostCouncil 22'!BL10/'$$xSchpostCouncil 22'!BL$123</f>
        <v>0</v>
      </c>
      <c r="BM10" s="6"/>
      <c r="BN10" s="43">
        <f>'$$xSchpostCouncil 22'!BN10/'$$xSchpostCouncil 22'!BN$123</f>
        <v>0</v>
      </c>
      <c r="BO10" s="43">
        <f>'$$xSchpostCouncil 22'!BO10/'$$xSchpostCouncil 22'!BO$123</f>
        <v>0</v>
      </c>
      <c r="BP10" s="6"/>
      <c r="BQ10" s="6"/>
      <c r="BR10" s="6"/>
      <c r="BS10" s="6"/>
      <c r="BT10" s="6"/>
      <c r="BU10" s="43">
        <f>'$$xSchpostCouncil 22'!BU10/'$$xSchpostCouncil 22'!BU$123</f>
        <v>0</v>
      </c>
      <c r="BV10" s="43">
        <f>'$$xSchpostCouncil 22'!BV10/'$$xSchpostCouncil 22'!BV$123</f>
        <v>0</v>
      </c>
      <c r="BW10" s="43">
        <f>'$$xSchpostCouncil 22'!BW10/'$$xSchpostCouncil 22'!BW$123</f>
        <v>0</v>
      </c>
      <c r="BX10" s="6">
        <v>0</v>
      </c>
      <c r="BY10" s="6"/>
      <c r="BZ10" s="6"/>
      <c r="CA10" s="6"/>
      <c r="CB10" s="6"/>
      <c r="CC10" s="6"/>
      <c r="CD10" s="6"/>
      <c r="CE10" s="6"/>
      <c r="CF10" s="6">
        <v>150569</v>
      </c>
      <c r="CI10" s="43">
        <f>'$$xSchpostCouncil 22'!CI10/'$$xSchpostCouncil 22'!CI$123</f>
        <v>1</v>
      </c>
      <c r="CJ10" s="43">
        <f>'$$xSchpostCouncil 22'!CJ10/'$$xSchpostCouncil 22'!CJ$123</f>
        <v>1.5599984667377931</v>
      </c>
      <c r="CK10" s="43">
        <f>'$$xSchpostCouncil 22'!CK10/'$$xSchpostCouncil 22'!CK$123</f>
        <v>1</v>
      </c>
      <c r="CL10" s="43">
        <f>'$$xSchpostCouncil 22'!CL10/'$$xSchpostCouncil 22'!CL$123</f>
        <v>1.2000039495250696</v>
      </c>
      <c r="CM10" s="43">
        <f>'$$xSchpostCouncil 22'!CM10/'$$xSchpostCouncil 22'!CM$123</f>
        <v>0</v>
      </c>
      <c r="CN10" s="43">
        <f>'$$xSchpostCouncil 22'!CN10/'$$xSchpostCouncil 22'!CN$123</f>
        <v>1</v>
      </c>
      <c r="CO10" s="43">
        <f>'$$xSchpostCouncil 22'!CO10/'$$xSchpostCouncil 22'!CO$123</f>
        <v>0</v>
      </c>
      <c r="CP10" s="43">
        <f>'$$xSchpostCouncil 22'!CP10/'$$xSchpostCouncil 22'!CP$123</f>
        <v>0</v>
      </c>
      <c r="CQ10" s="43">
        <f>'$$xSchpostCouncil 22'!CQ10/'$$xSchpostCouncil 22'!CQ$123</f>
        <v>16.209995647114216</v>
      </c>
      <c r="CR10" s="43">
        <f>'$$xSchpostCouncil 22'!CR10/'$$xSchpostCouncil 22'!CR$123</f>
        <v>0</v>
      </c>
      <c r="CS10" s="6"/>
      <c r="CT10" s="6"/>
      <c r="CU10" s="6"/>
      <c r="CV10" s="43">
        <f>'$$xSchpostCouncil 22'!CV10/'$$xSchpostCouncil 22'!CV$123</f>
        <v>0</v>
      </c>
      <c r="CW10" s="43">
        <f>'$$xSchpostCouncil 22'!CW10/'$$xSchpostCouncil 22'!CW$123</f>
        <v>0</v>
      </c>
      <c r="CX10" s="6">
        <v>0</v>
      </c>
      <c r="CY10" s="6"/>
      <c r="CZ10" s="6"/>
      <c r="DB10" s="43">
        <f>'$$xSchpostCouncil 22'!DB10/'$$xSchpostCouncil 22'!DB$123</f>
        <v>0</v>
      </c>
      <c r="DC10" s="43">
        <f>'$$xSchpostCouncil 22'!DC10/'$$xSchpostCouncil 22'!DC$123</f>
        <v>0</v>
      </c>
      <c r="DF10" s="43">
        <f>'$$xSchpostCouncil 22'!DF10/'$$xSchpostCouncil 22'!DF$123</f>
        <v>0</v>
      </c>
      <c r="DG10" s="43">
        <f>'$$xSchpostCouncil 22'!DG10/'$$xSchpostCouncil 22'!DG$123</f>
        <v>0</v>
      </c>
      <c r="DH10" s="43">
        <f>'$$xSchpostCouncil 22'!DH10/'$$xSchpostCouncil 22'!DH$123</f>
        <v>0</v>
      </c>
      <c r="DI10" s="43">
        <f>'$$xSchpostCouncil 22'!DI10/'$$xSchpostCouncil 22'!DI$123</f>
        <v>0</v>
      </c>
      <c r="DJ10" s="43">
        <f>'$$xSchpostCouncil 22'!DJ10/'$$xSchpostCouncil 22'!DJ$123</f>
        <v>0</v>
      </c>
      <c r="DK10" s="43">
        <f>'$$xSchpostCouncil 22'!DK10/'$$xSchpostCouncil 22'!DK$123</f>
        <v>0</v>
      </c>
      <c r="DL10" s="6"/>
      <c r="DM10" s="6">
        <v>3025</v>
      </c>
      <c r="DN10" s="43">
        <f>'$$xSchpostCouncil 22'!DN10/'$$xSchpostCouncil 22'!DN$123</f>
        <v>1</v>
      </c>
      <c r="DO10" s="6"/>
      <c r="DP10" s="6"/>
      <c r="DU10" s="6">
        <f>VLOOKUP($A10,[3]Totals!$B$2:$K$119,10,FALSE)</f>
        <v>230228.14</v>
      </c>
      <c r="DV10" s="6">
        <f>VLOOKUP($A10,[3]Totals!$B$2:$K$119,9,FALSE)</f>
        <v>112569</v>
      </c>
    </row>
    <row r="11" spans="1:126" x14ac:dyDescent="0.2">
      <c r="A11" s="3">
        <v>204</v>
      </c>
      <c r="B11" s="2" t="s">
        <v>119</v>
      </c>
      <c r="C11" t="s">
        <v>7</v>
      </c>
      <c r="D11">
        <v>1</v>
      </c>
      <c r="E11" s="1">
        <v>662</v>
      </c>
      <c r="F11" s="4">
        <v>0.27300000000000002</v>
      </c>
      <c r="G11">
        <v>181</v>
      </c>
      <c r="H11" s="43">
        <f>'$$xSchpostCouncil 22'!H11/'$$xSchpostCouncil 22'!H$123</f>
        <v>1</v>
      </c>
      <c r="I11" s="43">
        <f>'$$xSchpostCouncil 22'!I11/'$$xSchpostCouncil 22'!I$123</f>
        <v>0</v>
      </c>
      <c r="J11" s="43">
        <f>'$$xSchpostCouncil 22'!J11/'$$xSchpostCouncil 22'!J$123</f>
        <v>0</v>
      </c>
      <c r="K11" s="43">
        <f>'$$xSchpostCouncil 22'!K11/'$$xSchpostCouncil 22'!K$123</f>
        <v>1</v>
      </c>
      <c r="L11" s="6">
        <v>9493</v>
      </c>
      <c r="M11" s="43">
        <f>'$$xSchpostCouncil 22'!M11/'$$xSchpostCouncil 22'!M$123</f>
        <v>1</v>
      </c>
      <c r="N11" s="43">
        <f>'$$xSchpostCouncil 22'!N11/'$$xSchpostCouncil 22'!N$123</f>
        <v>1</v>
      </c>
      <c r="O11" s="43">
        <f>'$$xSchpostCouncil 22'!O11/'$$xSchpostCouncil 22'!O$123</f>
        <v>4</v>
      </c>
      <c r="P11" s="43">
        <f>'$$xSchpostCouncil 22'!P11/'$$xSchpostCouncil 22'!P$123</f>
        <v>1</v>
      </c>
      <c r="Q11" s="43">
        <f>'$$xSchpostCouncil 22'!Q11/'$$xSchpostCouncil 22'!Q$123</f>
        <v>3</v>
      </c>
      <c r="R11" s="43">
        <f>'$$xSchpostCouncil 22'!R11/'$$xSchpostCouncil 22'!R$123</f>
        <v>0</v>
      </c>
      <c r="S11" s="43">
        <f>'$$xSchpostCouncil 22'!S11/'$$xSchpostCouncil 22'!S$123</f>
        <v>3</v>
      </c>
      <c r="T11" s="43">
        <f>'$$xSchpostCouncil 22'!T11/'$$xSchpostCouncil 22'!T$123</f>
        <v>6</v>
      </c>
      <c r="U11" s="6"/>
      <c r="V11" s="6"/>
      <c r="W11" s="6"/>
      <c r="X11" s="6"/>
      <c r="Y11" s="43">
        <f>'$$xSchpostCouncil 22'!Y11/'$$xSchpostCouncil 22'!Y$123</f>
        <v>0</v>
      </c>
      <c r="Z11" s="43">
        <f>'$$xSchpostCouncil 22'!Z11/'$$xSchpostCouncil 22'!Z$123</f>
        <v>0</v>
      </c>
      <c r="AA11" s="43">
        <f>'$$xSchpostCouncil 22'!AA11/'$$xSchpostCouncil 22'!AA$123</f>
        <v>0</v>
      </c>
      <c r="AB11" s="43">
        <f>'$$xSchpostCouncil 22'!AB11/'$$xSchpostCouncil 22'!AB$123</f>
        <v>0</v>
      </c>
      <c r="AC11" s="6"/>
      <c r="AD11" s="6">
        <v>244939</v>
      </c>
      <c r="AE11" s="43">
        <f>'$$xSchpostCouncil 22'!AE11/'$$xSchpostCouncil 22'!AE$123</f>
        <v>1</v>
      </c>
      <c r="AF11" s="43">
        <f>'$$xSchpostCouncil 22'!AF11/'$$xSchpostCouncil 22'!AF$123</f>
        <v>2</v>
      </c>
      <c r="AG11" s="43">
        <f>'$$xSchpostCouncil 22'!AG11/'$$xSchpostCouncil 22'!AG$123</f>
        <v>10</v>
      </c>
      <c r="AH11" s="43">
        <f>'$$xSchpostCouncil 22'!AH11/'$$xSchpostCouncil 22'!AH$123</f>
        <v>0</v>
      </c>
      <c r="AI11" s="43">
        <f>'$$xSchpostCouncil 22'!AI11/'$$xSchpostCouncil 22'!AI$123</f>
        <v>4</v>
      </c>
      <c r="AJ11" s="43"/>
      <c r="AK11" s="43">
        <f>'$$xSchpostCouncil 22'!AK11/'$$xSchpostCouncil 22'!AK$123</f>
        <v>0</v>
      </c>
      <c r="AL11" s="43">
        <f>'$$xSchpostCouncil 22'!AL11/'$$xSchpostCouncil 22'!AL$123</f>
        <v>0</v>
      </c>
      <c r="AM11" s="6"/>
      <c r="AN11" s="6"/>
      <c r="AO11" s="43">
        <f>'$$xSchpostCouncil 22'!AO11/'$$xSchpostCouncil 22'!AO$123</f>
        <v>15</v>
      </c>
      <c r="AP11" s="43">
        <f>'$$xSchpostCouncil 22'!AP11/'$$xSchpostCouncil 22'!AP$123</f>
        <v>0</v>
      </c>
      <c r="AQ11" s="43">
        <f>'$$xSchpostCouncil 22'!AQ11/'$$xSchpostCouncil 22'!AQ$123</f>
        <v>0</v>
      </c>
      <c r="AR11" s="6"/>
      <c r="AS11" s="6">
        <f>34000-13600</f>
        <v>20400</v>
      </c>
      <c r="AT11" s="6">
        <f>34000-13600</f>
        <v>20400</v>
      </c>
      <c r="AU11" s="6">
        <v>10200</v>
      </c>
      <c r="AV11" s="6"/>
      <c r="AW11" s="6">
        <v>27200</v>
      </c>
      <c r="AX11" s="6"/>
      <c r="AY11" s="6"/>
      <c r="AZ11" s="6">
        <v>300172.09000000003</v>
      </c>
      <c r="BA11" s="6"/>
      <c r="BB11" s="6"/>
      <c r="BC11" s="43">
        <f>'$$xSchpostCouncil 22'!BC11/'$$xSchpostCouncil 22'!BC$123</f>
        <v>0</v>
      </c>
      <c r="BD11" s="43">
        <f>'$$xSchpostCouncil 22'!BD11/'$$xSchpostCouncil 22'!BD$123</f>
        <v>0</v>
      </c>
      <c r="BE11" s="6"/>
      <c r="BF11" s="6"/>
      <c r="BG11" s="6"/>
      <c r="BH11" s="43">
        <f>'$$xSchpostCouncil 22'!BH11/'$$xSchpostCouncil 22'!BH$123</f>
        <v>0</v>
      </c>
      <c r="BI11" s="6"/>
      <c r="BJ11" s="43">
        <f>'$$xSchpostCouncil 22'!BJ11/'$$xSchpostCouncil 22'!BJ$123</f>
        <v>0</v>
      </c>
      <c r="BK11" s="6"/>
      <c r="BL11" s="43">
        <f>'$$xSchpostCouncil 22'!BL11/'$$xSchpostCouncil 22'!BL$123</f>
        <v>0</v>
      </c>
      <c r="BM11" s="6"/>
      <c r="BN11" s="43">
        <f>'$$xSchpostCouncil 22'!BN11/'$$xSchpostCouncil 22'!BN$123</f>
        <v>0</v>
      </c>
      <c r="BO11" s="43">
        <f>'$$xSchpostCouncil 22'!BO11/'$$xSchpostCouncil 22'!BO$123</f>
        <v>0</v>
      </c>
      <c r="BP11" s="6"/>
      <c r="BQ11" s="6"/>
      <c r="BR11" s="6"/>
      <c r="BS11" s="6"/>
      <c r="BT11" s="6"/>
      <c r="BU11" s="43">
        <f>'$$xSchpostCouncil 22'!BU11/'$$xSchpostCouncil 22'!BU$123</f>
        <v>0</v>
      </c>
      <c r="BV11" s="43">
        <f>'$$xSchpostCouncil 22'!BV11/'$$xSchpostCouncil 22'!BV$123</f>
        <v>0</v>
      </c>
      <c r="BW11" s="43">
        <f>'$$xSchpostCouncil 22'!BW11/'$$xSchpostCouncil 22'!BW$123</f>
        <v>0</v>
      </c>
      <c r="BX11" s="6">
        <v>458205</v>
      </c>
      <c r="BY11" s="6"/>
      <c r="BZ11" s="6"/>
      <c r="CA11" s="6"/>
      <c r="CB11" s="6"/>
      <c r="CC11" s="6"/>
      <c r="CD11" s="6"/>
      <c r="CE11" s="6"/>
      <c r="CF11" s="6">
        <v>0</v>
      </c>
      <c r="CI11" s="43">
        <f>'$$xSchpostCouncil 22'!CI11/'$$xSchpostCouncil 22'!CI$123</f>
        <v>1</v>
      </c>
      <c r="CJ11" s="43">
        <f>'$$xSchpostCouncil 22'!CJ11/'$$xSchpostCouncil 22'!CJ$123</f>
        <v>1.6999980834222412</v>
      </c>
      <c r="CK11" s="43">
        <f>'$$xSchpostCouncil 22'!CK11/'$$xSchpostCouncil 22'!CK$123</f>
        <v>1</v>
      </c>
      <c r="CL11" s="43">
        <f>'$$xSchpostCouncil 22'!CL11/'$$xSchpostCouncil 22'!CL$123</f>
        <v>1.6999940757123957</v>
      </c>
      <c r="CM11" s="43">
        <f>'$$xSchpostCouncil 22'!CM11/'$$xSchpostCouncil 22'!CM$123</f>
        <v>0</v>
      </c>
      <c r="CN11" s="43">
        <f>'$$xSchpostCouncil 22'!CN11/'$$xSchpostCouncil 22'!CN$123</f>
        <v>0</v>
      </c>
      <c r="CO11" s="43">
        <f>'$$xSchpostCouncil 22'!CO11/'$$xSchpostCouncil 22'!CO$123</f>
        <v>5.500004441720189</v>
      </c>
      <c r="CP11" s="43">
        <f>'$$xSchpostCouncil 22'!CP11/'$$xSchpostCouncil 22'!CP$123</f>
        <v>4</v>
      </c>
      <c r="CQ11" s="43">
        <f>'$$xSchpostCouncil 22'!CQ11/'$$xSchpostCouncil 22'!CQ$123</f>
        <v>25</v>
      </c>
      <c r="CR11" s="43">
        <f>'$$xSchpostCouncil 22'!CR11/'$$xSchpostCouncil 22'!CR$123</f>
        <v>0</v>
      </c>
      <c r="CS11" s="6"/>
      <c r="CT11" s="6"/>
      <c r="CU11" s="6"/>
      <c r="CV11" s="43">
        <f>'$$xSchpostCouncil 22'!CV11/'$$xSchpostCouncil 22'!CV$123</f>
        <v>0</v>
      </c>
      <c r="CW11" s="43">
        <f>'$$xSchpostCouncil 22'!CW11/'$$xSchpostCouncil 22'!CW$123</f>
        <v>0</v>
      </c>
      <c r="CX11" s="6">
        <v>0</v>
      </c>
      <c r="CY11" s="6"/>
      <c r="CZ11" s="6"/>
      <c r="DB11" s="43">
        <f>'$$xSchpostCouncil 22'!DB11/'$$xSchpostCouncil 22'!DB$123</f>
        <v>3</v>
      </c>
      <c r="DC11" s="43">
        <f>'$$xSchpostCouncil 22'!DC11/'$$xSchpostCouncil 22'!DC$123</f>
        <v>0</v>
      </c>
      <c r="DF11" s="43">
        <f>'$$xSchpostCouncil 22'!DF11/'$$xSchpostCouncil 22'!DF$123</f>
        <v>0</v>
      </c>
      <c r="DG11" s="43">
        <f>'$$xSchpostCouncil 22'!DG11/'$$xSchpostCouncil 22'!DG$123</f>
        <v>0</v>
      </c>
      <c r="DH11" s="43">
        <f>'$$xSchpostCouncil 22'!DH11/'$$xSchpostCouncil 22'!DH$123</f>
        <v>0</v>
      </c>
      <c r="DI11" s="43">
        <f>'$$xSchpostCouncil 22'!DI11/'$$xSchpostCouncil 22'!DI$123</f>
        <v>0</v>
      </c>
      <c r="DJ11" s="43">
        <f>'$$xSchpostCouncil 22'!DJ11/'$$xSchpostCouncil 22'!DJ$123</f>
        <v>0</v>
      </c>
      <c r="DK11" s="43">
        <f>'$$xSchpostCouncil 22'!DK11/'$$xSchpostCouncil 22'!DK$123</f>
        <v>0</v>
      </c>
      <c r="DL11" s="6">
        <v>3629</v>
      </c>
      <c r="DM11" s="6"/>
      <c r="DN11" s="43">
        <f>'$$xSchpostCouncil 22'!DN11/'$$xSchpostCouncil 22'!DN$123</f>
        <v>0</v>
      </c>
      <c r="DO11" s="6"/>
      <c r="DP11" s="6">
        <v>18150</v>
      </c>
      <c r="DU11" s="6">
        <f>VLOOKUP($A11,[3]Totals!$B$2:$K$119,10,FALSE)</f>
        <v>148057.42000000001</v>
      </c>
      <c r="DV11" s="6">
        <f>VLOOKUP($A11,[3]Totals!$B$2:$K$119,9,FALSE)</f>
        <v>156529</v>
      </c>
    </row>
    <row r="12" spans="1:126" x14ac:dyDescent="0.2">
      <c r="A12" s="3">
        <v>1058</v>
      </c>
      <c r="B12" s="2" t="s">
        <v>118</v>
      </c>
      <c r="C12" t="s">
        <v>1</v>
      </c>
      <c r="D12">
        <v>7</v>
      </c>
      <c r="E12" s="1">
        <v>385</v>
      </c>
      <c r="F12" s="4">
        <v>0.55100000000000005</v>
      </c>
      <c r="G12">
        <v>212</v>
      </c>
      <c r="H12" s="43">
        <f>'$$xSchpostCouncil 22'!H12/'$$xSchpostCouncil 22'!H$123</f>
        <v>1</v>
      </c>
      <c r="I12" s="43">
        <f>'$$xSchpostCouncil 22'!I12/'$$xSchpostCouncil 22'!I$123</f>
        <v>0</v>
      </c>
      <c r="J12" s="43">
        <f>'$$xSchpostCouncil 22'!J12/'$$xSchpostCouncil 22'!J$123</f>
        <v>2</v>
      </c>
      <c r="K12" s="43">
        <f>'$$xSchpostCouncil 22'!K12/'$$xSchpostCouncil 22'!K$123</f>
        <v>1</v>
      </c>
      <c r="L12" s="6">
        <v>6327</v>
      </c>
      <c r="M12" s="43">
        <f>'$$xSchpostCouncil 22'!M12/'$$xSchpostCouncil 22'!M$123</f>
        <v>1</v>
      </c>
      <c r="N12" s="43">
        <f>'$$xSchpostCouncil 22'!N12/'$$xSchpostCouncil 22'!N$123</f>
        <v>1</v>
      </c>
      <c r="O12" s="43">
        <f>'$$xSchpostCouncil 22'!O12/'$$xSchpostCouncil 22'!O$123</f>
        <v>2</v>
      </c>
      <c r="P12" s="43">
        <f>'$$xSchpostCouncil 22'!P12/'$$xSchpostCouncil 22'!P$123</f>
        <v>1</v>
      </c>
      <c r="Q12" s="43">
        <f>'$$xSchpostCouncil 22'!Q12/'$$xSchpostCouncil 22'!Q$123</f>
        <v>0</v>
      </c>
      <c r="R12" s="43">
        <f>'$$xSchpostCouncil 22'!R12/'$$xSchpostCouncil 22'!R$123</f>
        <v>0</v>
      </c>
      <c r="S12" s="43">
        <f>'$$xSchpostCouncil 22'!S12/'$$xSchpostCouncil 22'!S$123</f>
        <v>0</v>
      </c>
      <c r="T12" s="43">
        <f>'$$xSchpostCouncil 22'!T12/'$$xSchpostCouncil 22'!T$123</f>
        <v>0</v>
      </c>
      <c r="U12" s="6"/>
      <c r="V12" s="6"/>
      <c r="W12" s="6"/>
      <c r="X12" s="6"/>
      <c r="Y12" s="43">
        <f>'$$xSchpostCouncil 22'!Y12/'$$xSchpostCouncil 22'!Y$123</f>
        <v>0</v>
      </c>
      <c r="Z12" s="43">
        <f>'$$xSchpostCouncil 22'!Z12/'$$xSchpostCouncil 22'!Z$123</f>
        <v>0</v>
      </c>
      <c r="AA12" s="43">
        <f>'$$xSchpostCouncil 22'!AA12/'$$xSchpostCouncil 22'!AA$123</f>
        <v>0</v>
      </c>
      <c r="AB12" s="43">
        <f>'$$xSchpostCouncil 22'!AB12/'$$xSchpostCouncil 22'!AB$123</f>
        <v>0</v>
      </c>
      <c r="AC12" s="6"/>
      <c r="AD12" s="6">
        <v>143154</v>
      </c>
      <c r="AE12" s="43">
        <f>'$$xSchpostCouncil 22'!AE12/'$$xSchpostCouncil 22'!AE$123</f>
        <v>1</v>
      </c>
      <c r="AF12" s="43">
        <f>'$$xSchpostCouncil 22'!AF12/'$$xSchpostCouncil 22'!AF$123</f>
        <v>1</v>
      </c>
      <c r="AG12" s="43">
        <f>'$$xSchpostCouncil 22'!AG12/'$$xSchpostCouncil 22'!AG$123</f>
        <v>2</v>
      </c>
      <c r="AH12" s="43">
        <f>'$$xSchpostCouncil 22'!AH12/'$$xSchpostCouncil 22'!AH$123</f>
        <v>0</v>
      </c>
      <c r="AI12" s="43">
        <f>'$$xSchpostCouncil 22'!AI12/'$$xSchpostCouncil 22'!AI$123</f>
        <v>0</v>
      </c>
      <c r="AJ12" s="43"/>
      <c r="AK12" s="43">
        <f>'$$xSchpostCouncil 22'!AK12/'$$xSchpostCouncil 22'!AK$123</f>
        <v>0</v>
      </c>
      <c r="AL12" s="43">
        <f>'$$xSchpostCouncil 22'!AL12/'$$xSchpostCouncil 22'!AL$123</f>
        <v>0</v>
      </c>
      <c r="AM12" s="6"/>
      <c r="AN12" s="6"/>
      <c r="AO12" s="43">
        <f>'$$xSchpostCouncil 22'!AO12/'$$xSchpostCouncil 22'!AO$123</f>
        <v>0</v>
      </c>
      <c r="AP12" s="43">
        <f>'$$xSchpostCouncil 22'!AP12/'$$xSchpostCouncil 22'!AP$123</f>
        <v>0.17999626895504089</v>
      </c>
      <c r="AQ12" s="43">
        <f>'$$xSchpostCouncil 22'!AQ12/'$$xSchpostCouncil 22'!AQ$123</f>
        <v>0</v>
      </c>
      <c r="AR12" s="6"/>
      <c r="AS12" s="6"/>
      <c r="AT12" s="6"/>
      <c r="AU12" s="6"/>
      <c r="AV12" s="6">
        <v>25000</v>
      </c>
      <c r="AW12" s="6">
        <v>0</v>
      </c>
      <c r="AX12" s="6"/>
      <c r="AY12" s="6"/>
      <c r="AZ12" s="6">
        <v>127469.34000000001</v>
      </c>
      <c r="BA12" s="6"/>
      <c r="BB12" s="6"/>
      <c r="BC12" s="43">
        <f>'$$xSchpostCouncil 22'!BC12/'$$xSchpostCouncil 22'!BC$123</f>
        <v>0</v>
      </c>
      <c r="BD12" s="43">
        <f>'$$xSchpostCouncil 22'!BD12/'$$xSchpostCouncil 22'!BD$123</f>
        <v>0</v>
      </c>
      <c r="BE12" s="6"/>
      <c r="BF12" s="6"/>
      <c r="BG12" s="6"/>
      <c r="BH12" s="43">
        <f>'$$xSchpostCouncil 22'!BH12/'$$xSchpostCouncil 22'!BH$123</f>
        <v>0</v>
      </c>
      <c r="BI12" s="6"/>
      <c r="BJ12" s="43">
        <f>'$$xSchpostCouncil 22'!BJ12/'$$xSchpostCouncil 22'!BJ$123</f>
        <v>0</v>
      </c>
      <c r="BK12" s="6"/>
      <c r="BL12" s="43">
        <f>'$$xSchpostCouncil 22'!BL12/'$$xSchpostCouncil 22'!BL$123</f>
        <v>0</v>
      </c>
      <c r="BM12" s="6"/>
      <c r="BN12" s="43">
        <f>'$$xSchpostCouncil 22'!BN12/'$$xSchpostCouncil 22'!BN$123</f>
        <v>0</v>
      </c>
      <c r="BO12" s="43">
        <f>'$$xSchpostCouncil 22'!BO12/'$$xSchpostCouncil 22'!BO$123</f>
        <v>0</v>
      </c>
      <c r="BP12" s="6"/>
      <c r="BQ12" s="6"/>
      <c r="BR12" s="6"/>
      <c r="BS12" s="6">
        <v>800000</v>
      </c>
      <c r="BT12" s="6"/>
      <c r="BU12" s="43">
        <f>'$$xSchpostCouncil 22'!BU12/'$$xSchpostCouncil 22'!BU$123</f>
        <v>0</v>
      </c>
      <c r="BV12" s="43">
        <f>'$$xSchpostCouncil 22'!BV12/'$$xSchpostCouncil 22'!BV$123</f>
        <v>0</v>
      </c>
      <c r="BW12" s="43">
        <f>'$$xSchpostCouncil 22'!BW12/'$$xSchpostCouncil 22'!BW$123</f>
        <v>0</v>
      </c>
      <c r="BX12" s="6">
        <v>595024</v>
      </c>
      <c r="BY12" s="6"/>
      <c r="BZ12" s="6"/>
      <c r="CA12" s="6"/>
      <c r="CB12" s="6"/>
      <c r="CC12" s="6"/>
      <c r="CD12" s="6"/>
      <c r="CE12" s="6"/>
      <c r="CF12" s="6">
        <v>56285</v>
      </c>
      <c r="CI12" s="43">
        <f>'$$xSchpostCouncil 22'!CI12/'$$xSchpostCouncil 22'!CI$123</f>
        <v>1</v>
      </c>
      <c r="CJ12" s="43">
        <f>'$$xSchpostCouncil 22'!CJ12/'$$xSchpostCouncil 22'!CJ$123</f>
        <v>1.3000019165777588</v>
      </c>
      <c r="CK12" s="43">
        <f>'$$xSchpostCouncil 22'!CK12/'$$xSchpostCouncil 22'!CK$123</f>
        <v>1</v>
      </c>
      <c r="CL12" s="43">
        <f>'$$xSchpostCouncil 22'!CL12/'$$xSchpostCouncil 22'!CL$123</f>
        <v>0</v>
      </c>
      <c r="CM12" s="43">
        <f>'$$xSchpostCouncil 22'!CM12/'$$xSchpostCouncil 22'!CM$123</f>
        <v>1</v>
      </c>
      <c r="CN12" s="43">
        <f>'$$xSchpostCouncil 22'!CN12/'$$xSchpostCouncil 22'!CN$123</f>
        <v>1</v>
      </c>
      <c r="CO12" s="43">
        <f>'$$xSchpostCouncil 22'!CO12/'$$xSchpostCouncil 22'!CO$123</f>
        <v>0</v>
      </c>
      <c r="CP12" s="43">
        <f>'$$xSchpostCouncil 22'!CP12/'$$xSchpostCouncil 22'!CP$123</f>
        <v>0</v>
      </c>
      <c r="CQ12" s="43">
        <f>'$$xSchpostCouncil 22'!CQ12/'$$xSchpostCouncil 22'!CQ$123</f>
        <v>16</v>
      </c>
      <c r="CR12" s="43">
        <f>'$$xSchpostCouncil 22'!CR12/'$$xSchpostCouncil 22'!CR$123</f>
        <v>0</v>
      </c>
      <c r="CS12" s="6"/>
      <c r="CT12" s="6"/>
      <c r="CU12" s="6"/>
      <c r="CV12" s="43">
        <f>'$$xSchpostCouncil 22'!CV12/'$$xSchpostCouncil 22'!CV$123</f>
        <v>1</v>
      </c>
      <c r="CW12" s="43">
        <f>'$$xSchpostCouncil 22'!CW12/'$$xSchpostCouncil 22'!CW$123</f>
        <v>0</v>
      </c>
      <c r="CX12" s="6">
        <v>0</v>
      </c>
      <c r="CY12" s="6"/>
      <c r="CZ12" s="6"/>
      <c r="DB12" s="43">
        <f>'$$xSchpostCouncil 22'!DB12/'$$xSchpostCouncil 22'!DB$123</f>
        <v>0</v>
      </c>
      <c r="DC12" s="43">
        <f>'$$xSchpostCouncil 22'!DC12/'$$xSchpostCouncil 22'!DC$123</f>
        <v>0</v>
      </c>
      <c r="DF12" s="43">
        <f>'$$xSchpostCouncil 22'!DF12/'$$xSchpostCouncil 22'!DF$123</f>
        <v>0</v>
      </c>
      <c r="DG12" s="43">
        <f>'$$xSchpostCouncil 22'!DG12/'$$xSchpostCouncil 22'!DG$123</f>
        <v>0</v>
      </c>
      <c r="DH12" s="43">
        <f>'$$xSchpostCouncil 22'!DH12/'$$xSchpostCouncil 22'!DH$123</f>
        <v>0</v>
      </c>
      <c r="DI12" s="43">
        <f>'$$xSchpostCouncil 22'!DI12/'$$xSchpostCouncil 22'!DI$123</f>
        <v>0</v>
      </c>
      <c r="DJ12" s="43">
        <f>'$$xSchpostCouncil 22'!DJ12/'$$xSchpostCouncil 22'!DJ$123</f>
        <v>0</v>
      </c>
      <c r="DK12" s="43">
        <f>'$$xSchpostCouncil 22'!DK12/'$$xSchpostCouncil 22'!DK$123</f>
        <v>0</v>
      </c>
      <c r="DL12" s="6"/>
      <c r="DM12" s="6"/>
      <c r="DN12" s="43">
        <f>'$$xSchpostCouncil 22'!DN12/'$$xSchpostCouncil 22'!DN$123</f>
        <v>0</v>
      </c>
      <c r="DO12" s="6"/>
      <c r="DP12" s="6">
        <v>18152</v>
      </c>
      <c r="DU12" s="6">
        <f>VLOOKUP($A12,[3]Totals!$B$2:$K$119,10,FALSE)</f>
        <v>139008.12</v>
      </c>
      <c r="DV12" s="6">
        <f>VLOOKUP($A12,[3]Totals!$B$2:$K$119,9,FALSE)</f>
        <v>104158</v>
      </c>
    </row>
    <row r="13" spans="1:126" x14ac:dyDescent="0.2">
      <c r="A13" s="3">
        <v>205</v>
      </c>
      <c r="B13" s="2" t="s">
        <v>117</v>
      </c>
      <c r="C13" t="s">
        <v>7</v>
      </c>
      <c r="D13">
        <v>4</v>
      </c>
      <c r="E13" s="1">
        <v>640</v>
      </c>
      <c r="F13" s="4">
        <v>0.44500000000000001</v>
      </c>
      <c r="G13">
        <v>285</v>
      </c>
      <c r="H13" s="43">
        <f>'$$xSchpostCouncil 22'!H13/'$$xSchpostCouncil 22'!H$123</f>
        <v>1</v>
      </c>
      <c r="I13" s="43">
        <f>'$$xSchpostCouncil 22'!I13/'$$xSchpostCouncil 22'!I$123</f>
        <v>0</v>
      </c>
      <c r="J13" s="43">
        <f>'$$xSchpostCouncil 22'!J13/'$$xSchpostCouncil 22'!J$123</f>
        <v>0</v>
      </c>
      <c r="K13" s="43">
        <f>'$$xSchpostCouncil 22'!K13/'$$xSchpostCouncil 22'!K$123</f>
        <v>1</v>
      </c>
      <c r="L13" s="6">
        <v>6572</v>
      </c>
      <c r="M13" s="43">
        <f>'$$xSchpostCouncil 22'!M13/'$$xSchpostCouncil 22'!M$123</f>
        <v>1</v>
      </c>
      <c r="N13" s="43">
        <f>'$$xSchpostCouncil 22'!N13/'$$xSchpostCouncil 22'!N$123</f>
        <v>1</v>
      </c>
      <c r="O13" s="43">
        <f>'$$xSchpostCouncil 22'!O13/'$$xSchpostCouncil 22'!O$123</f>
        <v>3</v>
      </c>
      <c r="P13" s="43">
        <f>'$$xSchpostCouncil 22'!P13/'$$xSchpostCouncil 22'!P$123</f>
        <v>1</v>
      </c>
      <c r="Q13" s="43">
        <f>'$$xSchpostCouncil 22'!Q13/'$$xSchpostCouncil 22'!Q$123</f>
        <v>4</v>
      </c>
      <c r="R13" s="43">
        <f>'$$xSchpostCouncil 22'!R13/'$$xSchpostCouncil 22'!R$123</f>
        <v>0</v>
      </c>
      <c r="S13" s="43">
        <f>'$$xSchpostCouncil 22'!S13/'$$xSchpostCouncil 22'!S$123</f>
        <v>4</v>
      </c>
      <c r="T13" s="43">
        <f>'$$xSchpostCouncil 22'!T13/'$$xSchpostCouncil 22'!T$123</f>
        <v>8</v>
      </c>
      <c r="U13" s="6"/>
      <c r="V13" s="6"/>
      <c r="W13" s="6"/>
      <c r="X13" s="6"/>
      <c r="Y13" s="43">
        <f>'$$xSchpostCouncil 22'!Y13/'$$xSchpostCouncil 22'!Y$123</f>
        <v>0</v>
      </c>
      <c r="Z13" s="43">
        <f>'$$xSchpostCouncil 22'!Z13/'$$xSchpostCouncil 22'!Z$123</f>
        <v>0</v>
      </c>
      <c r="AA13" s="43">
        <f>'$$xSchpostCouncil 22'!AA13/'$$xSchpostCouncil 22'!AA$123</f>
        <v>0</v>
      </c>
      <c r="AB13" s="43">
        <f>'$$xSchpostCouncil 22'!AB13/'$$xSchpostCouncil 22'!AB$123</f>
        <v>0</v>
      </c>
      <c r="AC13" s="6"/>
      <c r="AD13" s="6">
        <v>237654</v>
      </c>
      <c r="AE13" s="43">
        <f>'$$xSchpostCouncil 22'!AE13/'$$xSchpostCouncil 22'!AE$123</f>
        <v>1</v>
      </c>
      <c r="AF13" s="43">
        <f>'$$xSchpostCouncil 22'!AF13/'$$xSchpostCouncil 22'!AF$123</f>
        <v>2</v>
      </c>
      <c r="AG13" s="43">
        <f>'$$xSchpostCouncil 22'!AG13/'$$xSchpostCouncil 22'!AG$123</f>
        <v>8</v>
      </c>
      <c r="AH13" s="43">
        <f>'$$xSchpostCouncil 22'!AH13/'$$xSchpostCouncil 22'!AH$123</f>
        <v>0</v>
      </c>
      <c r="AI13" s="43">
        <f>'$$xSchpostCouncil 22'!AI13/'$$xSchpostCouncil 22'!AI$123</f>
        <v>6</v>
      </c>
      <c r="AJ13" s="43"/>
      <c r="AK13" s="43">
        <f>'$$xSchpostCouncil 22'!AK13/'$$xSchpostCouncil 22'!AK$123</f>
        <v>0</v>
      </c>
      <c r="AL13" s="43">
        <f>'$$xSchpostCouncil 22'!AL13/'$$xSchpostCouncil 22'!AL$123</f>
        <v>0</v>
      </c>
      <c r="AM13" s="6"/>
      <c r="AN13" s="6"/>
      <c r="AO13" s="43">
        <f>'$$xSchpostCouncil 22'!AO13/'$$xSchpostCouncil 22'!AO$123</f>
        <v>14</v>
      </c>
      <c r="AP13" s="43">
        <f>'$$xSchpostCouncil 22'!AP13/'$$xSchpostCouncil 22'!AP$123</f>
        <v>0</v>
      </c>
      <c r="AQ13" s="43">
        <f>'$$xSchpostCouncil 22'!AQ13/'$$xSchpostCouncil 22'!AQ$123</f>
        <v>0</v>
      </c>
      <c r="AR13" s="6"/>
      <c r="AS13" s="6">
        <f>142800-74800</f>
        <v>68000</v>
      </c>
      <c r="AT13" s="6">
        <f>142800-74800</f>
        <v>68000</v>
      </c>
      <c r="AU13" s="6">
        <v>10200</v>
      </c>
      <c r="AV13" s="6"/>
      <c r="AW13" s="6">
        <v>149600</v>
      </c>
      <c r="AX13" s="6"/>
      <c r="AY13" s="6"/>
      <c r="AZ13" s="6">
        <v>290196.18</v>
      </c>
      <c r="BA13" s="6"/>
      <c r="BB13" s="6"/>
      <c r="BC13" s="43">
        <f>'$$xSchpostCouncil 22'!BC13/'$$xSchpostCouncil 22'!BC$123</f>
        <v>0</v>
      </c>
      <c r="BD13" s="43">
        <f>'$$xSchpostCouncil 22'!BD13/'$$xSchpostCouncil 22'!BD$123</f>
        <v>0</v>
      </c>
      <c r="BE13" s="6"/>
      <c r="BF13" s="6"/>
      <c r="BG13" s="6"/>
      <c r="BH13" s="43">
        <f>'$$xSchpostCouncil 22'!BH13/'$$xSchpostCouncil 22'!BH$123</f>
        <v>0</v>
      </c>
      <c r="BI13" s="6"/>
      <c r="BJ13" s="43">
        <f>'$$xSchpostCouncil 22'!BJ13/'$$xSchpostCouncil 22'!BJ$123</f>
        <v>0</v>
      </c>
      <c r="BK13" s="6"/>
      <c r="BL13" s="43">
        <f>'$$xSchpostCouncil 22'!BL13/'$$xSchpostCouncil 22'!BL$123</f>
        <v>0</v>
      </c>
      <c r="BM13" s="6"/>
      <c r="BN13" s="43">
        <f>'$$xSchpostCouncil 22'!BN13/'$$xSchpostCouncil 22'!BN$123</f>
        <v>0</v>
      </c>
      <c r="BO13" s="43">
        <f>'$$xSchpostCouncil 22'!BO13/'$$xSchpostCouncil 22'!BO$123</f>
        <v>0</v>
      </c>
      <c r="BP13" s="6"/>
      <c r="BQ13" s="6"/>
      <c r="BR13" s="6"/>
      <c r="BS13" s="6"/>
      <c r="BT13" s="6"/>
      <c r="BU13" s="43">
        <f>'$$xSchpostCouncil 22'!BU13/'$$xSchpostCouncil 22'!BU$123</f>
        <v>0</v>
      </c>
      <c r="BV13" s="43">
        <f>'$$xSchpostCouncil 22'!BV13/'$$xSchpostCouncil 22'!BV$123</f>
        <v>0</v>
      </c>
      <c r="BW13" s="43">
        <f>'$$xSchpostCouncil 22'!BW13/'$$xSchpostCouncil 22'!BW$123</f>
        <v>0</v>
      </c>
      <c r="BX13" s="6">
        <v>721483.46</v>
      </c>
      <c r="BY13" s="6"/>
      <c r="BZ13" s="6"/>
      <c r="CA13" s="6"/>
      <c r="CB13" s="6"/>
      <c r="CC13" s="6"/>
      <c r="CD13" s="6"/>
      <c r="CE13" s="6"/>
      <c r="CF13" s="6">
        <v>0</v>
      </c>
      <c r="CI13" s="43">
        <f>'$$xSchpostCouncil 22'!CI13/'$$xSchpostCouncil 22'!CI$123</f>
        <v>1</v>
      </c>
      <c r="CJ13" s="43">
        <f>'$$xSchpostCouncil 22'!CJ13/'$$xSchpostCouncil 22'!CJ$123</f>
        <v>1.5999974445629883</v>
      </c>
      <c r="CK13" s="43">
        <f>'$$xSchpostCouncil 22'!CK13/'$$xSchpostCouncil 22'!CK$123</f>
        <v>1</v>
      </c>
      <c r="CL13" s="43">
        <f>'$$xSchpostCouncil 22'!CL13/'$$xSchpostCouncil 22'!CL$123</f>
        <v>1.5999921009498608</v>
      </c>
      <c r="CM13" s="43">
        <f>'$$xSchpostCouncil 22'!CM13/'$$xSchpostCouncil 22'!CM$123</f>
        <v>0</v>
      </c>
      <c r="CN13" s="43">
        <f>'$$xSchpostCouncil 22'!CN13/'$$xSchpostCouncil 22'!CN$123</f>
        <v>0</v>
      </c>
      <c r="CO13" s="43">
        <f>'$$xSchpostCouncil 22'!CO13/'$$xSchpostCouncil 22'!CO$123</f>
        <v>5.500004441720189</v>
      </c>
      <c r="CP13" s="43">
        <f>'$$xSchpostCouncil 22'!CP13/'$$xSchpostCouncil 22'!CP$123</f>
        <v>4</v>
      </c>
      <c r="CQ13" s="43">
        <f>'$$xSchpostCouncil 22'!CQ13/'$$xSchpostCouncil 22'!CQ$123</f>
        <v>23</v>
      </c>
      <c r="CR13" s="43">
        <f>'$$xSchpostCouncil 22'!CR13/'$$xSchpostCouncil 22'!CR$123</f>
        <v>0</v>
      </c>
      <c r="CS13" s="6"/>
      <c r="CT13" s="6"/>
      <c r="CU13" s="6"/>
      <c r="CV13" s="43">
        <f>'$$xSchpostCouncil 22'!CV13/'$$xSchpostCouncil 22'!CV$123</f>
        <v>0</v>
      </c>
      <c r="CW13" s="43">
        <f>'$$xSchpostCouncil 22'!CW13/'$$xSchpostCouncil 22'!CW$123</f>
        <v>0</v>
      </c>
      <c r="CX13" s="6">
        <v>0</v>
      </c>
      <c r="CY13" s="6"/>
      <c r="CZ13" s="6"/>
      <c r="DB13" s="43">
        <f>'$$xSchpostCouncil 22'!DB13/'$$xSchpostCouncil 22'!DB$123</f>
        <v>3</v>
      </c>
      <c r="DC13" s="43">
        <f>'$$xSchpostCouncil 22'!DC13/'$$xSchpostCouncil 22'!DC$123</f>
        <v>0</v>
      </c>
      <c r="DF13" s="43">
        <f>'$$xSchpostCouncil 22'!DF13/'$$xSchpostCouncil 22'!DF$123</f>
        <v>0</v>
      </c>
      <c r="DG13" s="43">
        <f>'$$xSchpostCouncil 22'!DG13/'$$xSchpostCouncil 22'!DG$123</f>
        <v>0</v>
      </c>
      <c r="DH13" s="43">
        <f>'$$xSchpostCouncil 22'!DH13/'$$xSchpostCouncil 22'!DH$123</f>
        <v>0</v>
      </c>
      <c r="DI13" s="43">
        <f>'$$xSchpostCouncil 22'!DI13/'$$xSchpostCouncil 22'!DI$123</f>
        <v>0</v>
      </c>
      <c r="DJ13" s="43">
        <f>'$$xSchpostCouncil 22'!DJ13/'$$xSchpostCouncil 22'!DJ$123</f>
        <v>0</v>
      </c>
      <c r="DK13" s="43">
        <f>'$$xSchpostCouncil 22'!DK13/'$$xSchpostCouncil 22'!DK$123</f>
        <v>0</v>
      </c>
      <c r="DL13" s="6">
        <v>5701</v>
      </c>
      <c r="DM13" s="6"/>
      <c r="DN13" s="43">
        <f>'$$xSchpostCouncil 22'!DN13/'$$xSchpostCouncil 22'!DN$123</f>
        <v>0</v>
      </c>
      <c r="DO13" s="6"/>
      <c r="DP13" s="6">
        <v>22275</v>
      </c>
      <c r="DU13" s="6">
        <f>VLOOKUP($A13,[3]Totals!$B$2:$K$119,10,FALSE)</f>
        <v>122274.11</v>
      </c>
      <c r="DV13" s="6">
        <f>VLOOKUP($A13,[3]Totals!$B$2:$K$119,9,FALSE)</f>
        <v>0</v>
      </c>
    </row>
    <row r="14" spans="1:126" x14ac:dyDescent="0.2">
      <c r="A14" s="3">
        <v>206</v>
      </c>
      <c r="B14" s="2" t="s">
        <v>116</v>
      </c>
      <c r="C14" t="s">
        <v>7</v>
      </c>
      <c r="D14">
        <v>7</v>
      </c>
      <c r="E14" s="1">
        <v>456</v>
      </c>
      <c r="F14" s="4">
        <v>0.53500000000000003</v>
      </c>
      <c r="G14">
        <v>244</v>
      </c>
      <c r="H14" s="43">
        <f>'$$xSchpostCouncil 22'!H14/'$$xSchpostCouncil 22'!H$123</f>
        <v>1</v>
      </c>
      <c r="I14" s="43">
        <f>'$$xSchpostCouncil 22'!I14/'$$xSchpostCouncil 22'!I$123</f>
        <v>0</v>
      </c>
      <c r="J14" s="43">
        <f>'$$xSchpostCouncil 22'!J14/'$$xSchpostCouncil 22'!J$123</f>
        <v>0</v>
      </c>
      <c r="K14" s="43">
        <f>'$$xSchpostCouncil 22'!K14/'$$xSchpostCouncil 22'!K$123</f>
        <v>1</v>
      </c>
      <c r="L14" s="6">
        <v>6170</v>
      </c>
      <c r="M14" s="43">
        <f>'$$xSchpostCouncil 22'!M14/'$$xSchpostCouncil 22'!M$123</f>
        <v>1</v>
      </c>
      <c r="N14" s="43">
        <f>'$$xSchpostCouncil 22'!N14/'$$xSchpostCouncil 22'!N$123</f>
        <v>1</v>
      </c>
      <c r="O14" s="43">
        <f>'$$xSchpostCouncil 22'!O14/'$$xSchpostCouncil 22'!O$123</f>
        <v>2</v>
      </c>
      <c r="P14" s="43">
        <f>'$$xSchpostCouncil 22'!P14/'$$xSchpostCouncil 22'!P$123</f>
        <v>1</v>
      </c>
      <c r="Q14" s="43">
        <f>'$$xSchpostCouncil 22'!Q14/'$$xSchpostCouncil 22'!Q$123</f>
        <v>2</v>
      </c>
      <c r="R14" s="43">
        <f>'$$xSchpostCouncil 22'!R14/'$$xSchpostCouncil 22'!R$123</f>
        <v>1</v>
      </c>
      <c r="S14" s="43">
        <f>'$$xSchpostCouncil 22'!S14/'$$xSchpostCouncil 22'!S$123</f>
        <v>2</v>
      </c>
      <c r="T14" s="43">
        <f>'$$xSchpostCouncil 22'!T14/'$$xSchpostCouncil 22'!T$123</f>
        <v>5</v>
      </c>
      <c r="U14" s="6"/>
      <c r="V14" s="6"/>
      <c r="W14" s="6"/>
      <c r="X14" s="6"/>
      <c r="Y14" s="43">
        <f>'$$xSchpostCouncil 22'!Y14/'$$xSchpostCouncil 22'!Y$123</f>
        <v>0</v>
      </c>
      <c r="Z14" s="43">
        <f>'$$xSchpostCouncil 22'!Z14/'$$xSchpostCouncil 22'!Z$123</f>
        <v>0</v>
      </c>
      <c r="AA14" s="43">
        <f>'$$xSchpostCouncil 22'!AA14/'$$xSchpostCouncil 22'!AA$123</f>
        <v>0</v>
      </c>
      <c r="AB14" s="43">
        <f>'$$xSchpostCouncil 22'!AB14/'$$xSchpostCouncil 22'!AB$123</f>
        <v>0</v>
      </c>
      <c r="AC14" s="6"/>
      <c r="AD14" s="6">
        <v>170626</v>
      </c>
      <c r="AE14" s="43">
        <f>'$$xSchpostCouncil 22'!AE14/'$$xSchpostCouncil 22'!AE$123</f>
        <v>1</v>
      </c>
      <c r="AF14" s="43">
        <f>'$$xSchpostCouncil 22'!AF14/'$$xSchpostCouncil 22'!AF$123</f>
        <v>2</v>
      </c>
      <c r="AG14" s="43">
        <f>'$$xSchpostCouncil 22'!AG14/'$$xSchpostCouncil 22'!AG$123</f>
        <v>10</v>
      </c>
      <c r="AH14" s="43">
        <f>'$$xSchpostCouncil 22'!AH14/'$$xSchpostCouncil 22'!AH$123</f>
        <v>0</v>
      </c>
      <c r="AI14" s="43">
        <f>'$$xSchpostCouncil 22'!AI14/'$$xSchpostCouncil 22'!AI$123</f>
        <v>12</v>
      </c>
      <c r="AJ14" s="43"/>
      <c r="AK14" s="43">
        <f>'$$xSchpostCouncil 22'!AK14/'$$xSchpostCouncil 22'!AK$123</f>
        <v>0</v>
      </c>
      <c r="AL14" s="43">
        <f>'$$xSchpostCouncil 22'!AL14/'$$xSchpostCouncil 22'!AL$123</f>
        <v>1</v>
      </c>
      <c r="AM14" s="6"/>
      <c r="AN14" s="6"/>
      <c r="AO14" s="43">
        <f>'$$xSchpostCouncil 22'!AO14/'$$xSchpostCouncil 22'!AO$123</f>
        <v>0</v>
      </c>
      <c r="AP14" s="43">
        <f>'$$xSchpostCouncil 22'!AP14/'$$xSchpostCouncil 22'!AP$123</f>
        <v>4.9996002451829544E-2</v>
      </c>
      <c r="AQ14" s="43">
        <f>'$$xSchpostCouncil 22'!AQ14/'$$xSchpostCouncil 22'!AQ$123</f>
        <v>0</v>
      </c>
      <c r="AR14" s="6"/>
      <c r="AS14" s="6">
        <f>61200-34000</f>
        <v>27200</v>
      </c>
      <c r="AT14" s="6">
        <f>61200-34000</f>
        <v>27200</v>
      </c>
      <c r="AU14" s="6"/>
      <c r="AV14" s="6"/>
      <c r="AW14" s="6">
        <v>68000</v>
      </c>
      <c r="AX14" s="6"/>
      <c r="AY14" s="6"/>
      <c r="AZ14" s="6">
        <v>206764.29000000004</v>
      </c>
      <c r="BA14" s="6"/>
      <c r="BB14" s="6"/>
      <c r="BC14" s="43">
        <f>'$$xSchpostCouncil 22'!BC14/'$$xSchpostCouncil 22'!BC$123</f>
        <v>0</v>
      </c>
      <c r="BD14" s="43">
        <f>'$$xSchpostCouncil 22'!BD14/'$$xSchpostCouncil 22'!BD$123</f>
        <v>0</v>
      </c>
      <c r="BE14" s="6"/>
      <c r="BF14" s="6"/>
      <c r="BG14" s="6"/>
      <c r="BH14" s="43">
        <f>'$$xSchpostCouncil 22'!BH14/'$$xSchpostCouncil 22'!BH$123</f>
        <v>0</v>
      </c>
      <c r="BI14" s="6"/>
      <c r="BJ14" s="43">
        <f>'$$xSchpostCouncil 22'!BJ14/'$$xSchpostCouncil 22'!BJ$123</f>
        <v>0</v>
      </c>
      <c r="BK14" s="6"/>
      <c r="BL14" s="43">
        <f>'$$xSchpostCouncil 22'!BL14/'$$xSchpostCouncil 22'!BL$123</f>
        <v>0</v>
      </c>
      <c r="BM14" s="6"/>
      <c r="BN14" s="43">
        <f>'$$xSchpostCouncil 22'!BN14/'$$xSchpostCouncil 22'!BN$123</f>
        <v>0</v>
      </c>
      <c r="BO14" s="43">
        <f>'$$xSchpostCouncil 22'!BO14/'$$xSchpostCouncil 22'!BO$123</f>
        <v>0</v>
      </c>
      <c r="BP14" s="6"/>
      <c r="BQ14" s="6"/>
      <c r="BR14" s="6">
        <v>13859</v>
      </c>
      <c r="BS14" s="6"/>
      <c r="BT14" s="6"/>
      <c r="BU14" s="43">
        <f>'$$xSchpostCouncil 22'!BU14/'$$xSchpostCouncil 22'!BU$123</f>
        <v>0</v>
      </c>
      <c r="BV14" s="43">
        <f>'$$xSchpostCouncil 22'!BV14/'$$xSchpostCouncil 22'!BV$123</f>
        <v>0</v>
      </c>
      <c r="BW14" s="43">
        <f>'$$xSchpostCouncil 22'!BW14/'$$xSchpostCouncil 22'!BW$123</f>
        <v>0</v>
      </c>
      <c r="BX14" s="6">
        <v>617691</v>
      </c>
      <c r="BY14" s="6"/>
      <c r="BZ14" s="6"/>
      <c r="CA14" s="6"/>
      <c r="CB14" s="6"/>
      <c r="CC14" s="6"/>
      <c r="CD14" s="6"/>
      <c r="CE14" s="6"/>
      <c r="CF14" s="6">
        <v>10200</v>
      </c>
      <c r="CI14" s="43">
        <f>'$$xSchpostCouncil 22'!CI14/'$$xSchpostCouncil 22'!CI$123</f>
        <v>1</v>
      </c>
      <c r="CJ14" s="43">
        <f>'$$xSchpostCouncil 22'!CJ14/'$$xSchpostCouncil 22'!CJ$123</f>
        <v>1.1000006388592529</v>
      </c>
      <c r="CK14" s="43">
        <f>'$$xSchpostCouncil 22'!CK14/'$$xSchpostCouncil 22'!CK$123</f>
        <v>1</v>
      </c>
      <c r="CL14" s="43">
        <f>'$$xSchpostCouncil 22'!CL14/'$$xSchpostCouncil 22'!CL$123</f>
        <v>1.1000019747625347</v>
      </c>
      <c r="CM14" s="43">
        <f>'$$xSchpostCouncil 22'!CM14/'$$xSchpostCouncil 22'!CM$123</f>
        <v>0</v>
      </c>
      <c r="CN14" s="43">
        <f>'$$xSchpostCouncil 22'!CN14/'$$xSchpostCouncil 22'!CN$123</f>
        <v>0</v>
      </c>
      <c r="CO14" s="43">
        <f>'$$xSchpostCouncil 22'!CO14/'$$xSchpostCouncil 22'!CO$123</f>
        <v>4.500004441720189</v>
      </c>
      <c r="CP14" s="43">
        <f>'$$xSchpostCouncil 22'!CP14/'$$xSchpostCouncil 22'!CP$123</f>
        <v>3</v>
      </c>
      <c r="CQ14" s="43">
        <f>'$$xSchpostCouncil 22'!CQ14/'$$xSchpostCouncil 22'!CQ$123</f>
        <v>19</v>
      </c>
      <c r="CR14" s="43">
        <f>'$$xSchpostCouncil 22'!CR14/'$$xSchpostCouncil 22'!CR$123</f>
        <v>0</v>
      </c>
      <c r="CS14" s="6"/>
      <c r="CT14" s="6"/>
      <c r="CU14" s="6"/>
      <c r="CV14" s="43">
        <f>'$$xSchpostCouncil 22'!CV14/'$$xSchpostCouncil 22'!CV$123</f>
        <v>0</v>
      </c>
      <c r="CW14" s="43">
        <f>'$$xSchpostCouncil 22'!CW14/'$$xSchpostCouncil 22'!CW$123</f>
        <v>0</v>
      </c>
      <c r="CX14" s="6">
        <v>0</v>
      </c>
      <c r="CY14" s="6"/>
      <c r="CZ14" s="6"/>
      <c r="DB14" s="43">
        <f>'$$xSchpostCouncil 22'!DB14/'$$xSchpostCouncil 22'!DB$123</f>
        <v>0</v>
      </c>
      <c r="DC14" s="43">
        <f>'$$xSchpostCouncil 22'!DC14/'$$xSchpostCouncil 22'!DC$123</f>
        <v>0</v>
      </c>
      <c r="DF14" s="43">
        <f>'$$xSchpostCouncil 22'!DF14/'$$xSchpostCouncil 22'!DF$123</f>
        <v>0</v>
      </c>
      <c r="DG14" s="43">
        <f>'$$xSchpostCouncil 22'!DG14/'$$xSchpostCouncil 22'!DG$123</f>
        <v>0</v>
      </c>
      <c r="DH14" s="43">
        <f>'$$xSchpostCouncil 22'!DH14/'$$xSchpostCouncil 22'!DH$123</f>
        <v>0</v>
      </c>
      <c r="DI14" s="43">
        <f>'$$xSchpostCouncil 22'!DI14/'$$xSchpostCouncil 22'!DI$123</f>
        <v>0</v>
      </c>
      <c r="DJ14" s="43">
        <f>'$$xSchpostCouncil 22'!DJ14/'$$xSchpostCouncil 22'!DJ$123</f>
        <v>0</v>
      </c>
      <c r="DK14" s="43">
        <f>'$$xSchpostCouncil 22'!DK14/'$$xSchpostCouncil 22'!DK$123</f>
        <v>0</v>
      </c>
      <c r="DL14" s="6">
        <v>4884</v>
      </c>
      <c r="DM14" s="6"/>
      <c r="DN14" s="43">
        <f>'$$xSchpostCouncil 22'!DN14/'$$xSchpostCouncil 22'!DN$123</f>
        <v>0</v>
      </c>
      <c r="DO14" s="6"/>
      <c r="DP14" s="6">
        <v>31525</v>
      </c>
      <c r="DU14" s="6">
        <f>VLOOKUP($A14,[3]Totals!$B$2:$K$119,10,FALSE)</f>
        <v>232342.93</v>
      </c>
      <c r="DV14" s="6">
        <f>VLOOKUP($A14,[3]Totals!$B$2:$K$119,9,FALSE)</f>
        <v>296221</v>
      </c>
    </row>
    <row r="15" spans="1:126" x14ac:dyDescent="0.2">
      <c r="A15" s="3">
        <v>402</v>
      </c>
      <c r="B15" s="2" t="s">
        <v>115</v>
      </c>
      <c r="C15" t="s">
        <v>1</v>
      </c>
      <c r="D15">
        <v>1</v>
      </c>
      <c r="E15" s="1">
        <v>572</v>
      </c>
      <c r="F15" s="4">
        <v>0.24099999999999999</v>
      </c>
      <c r="G15">
        <v>138</v>
      </c>
      <c r="H15" s="43">
        <f>'$$xSchpostCouncil 22'!H15/'$$xSchpostCouncil 22'!H$123</f>
        <v>1</v>
      </c>
      <c r="I15" s="43">
        <f>'$$xSchpostCouncil 22'!I15/'$$xSchpostCouncil 22'!I$123</f>
        <v>0</v>
      </c>
      <c r="J15" s="43">
        <f>'$$xSchpostCouncil 22'!J15/'$$xSchpostCouncil 22'!J$123</f>
        <v>2.5</v>
      </c>
      <c r="K15" s="43">
        <f>'$$xSchpostCouncil 22'!K15/'$$xSchpostCouncil 22'!K$123</f>
        <v>1</v>
      </c>
      <c r="L15" s="6">
        <v>11859</v>
      </c>
      <c r="M15" s="43">
        <f>'$$xSchpostCouncil 22'!M15/'$$xSchpostCouncil 22'!M$123</f>
        <v>1</v>
      </c>
      <c r="N15" s="43">
        <f>'$$xSchpostCouncil 22'!N15/'$$xSchpostCouncil 22'!N$123</f>
        <v>1</v>
      </c>
      <c r="O15" s="43">
        <f>'$$xSchpostCouncil 22'!O15/'$$xSchpostCouncil 22'!O$123</f>
        <v>5</v>
      </c>
      <c r="P15" s="43">
        <f>'$$xSchpostCouncil 22'!P15/'$$xSchpostCouncil 22'!P$123</f>
        <v>1</v>
      </c>
      <c r="Q15" s="43">
        <f>'$$xSchpostCouncil 22'!Q15/'$$xSchpostCouncil 22'!Q$123</f>
        <v>0</v>
      </c>
      <c r="R15" s="43">
        <f>'$$xSchpostCouncil 22'!R15/'$$xSchpostCouncil 22'!R$123</f>
        <v>0</v>
      </c>
      <c r="S15" s="43">
        <f>'$$xSchpostCouncil 22'!S15/'$$xSchpostCouncil 22'!S$123</f>
        <v>0</v>
      </c>
      <c r="T15" s="43">
        <f>'$$xSchpostCouncil 22'!T15/'$$xSchpostCouncil 22'!T$123</f>
        <v>0</v>
      </c>
      <c r="U15" s="6"/>
      <c r="V15" s="6"/>
      <c r="W15" s="6"/>
      <c r="X15" s="6"/>
      <c r="Y15" s="43">
        <f>'$$xSchpostCouncil 22'!Y15/'$$xSchpostCouncil 22'!Y$123</f>
        <v>0</v>
      </c>
      <c r="Z15" s="43">
        <f>'$$xSchpostCouncil 22'!Z15/'$$xSchpostCouncil 22'!Z$123</f>
        <v>0</v>
      </c>
      <c r="AA15" s="43">
        <f>'$$xSchpostCouncil 22'!AA15/'$$xSchpostCouncil 22'!AA$123</f>
        <v>0</v>
      </c>
      <c r="AB15" s="43">
        <f>'$$xSchpostCouncil 22'!AB15/'$$xSchpostCouncil 22'!AB$123</f>
        <v>0</v>
      </c>
      <c r="AC15" s="6"/>
      <c r="AD15" s="6">
        <v>203608</v>
      </c>
      <c r="AE15" s="43">
        <f>'$$xSchpostCouncil 22'!AE15/'$$xSchpostCouncil 22'!AE$123</f>
        <v>1</v>
      </c>
      <c r="AF15" s="43">
        <f>'$$xSchpostCouncil 22'!AF15/'$$xSchpostCouncil 22'!AF$123</f>
        <v>1</v>
      </c>
      <c r="AG15" s="43">
        <f>'$$xSchpostCouncil 22'!AG15/'$$xSchpostCouncil 22'!AG$123</f>
        <v>1</v>
      </c>
      <c r="AH15" s="43">
        <f>'$$xSchpostCouncil 22'!AH15/'$$xSchpostCouncil 22'!AH$123</f>
        <v>0</v>
      </c>
      <c r="AI15" s="43">
        <f>'$$xSchpostCouncil 22'!AI15/'$$xSchpostCouncil 22'!AI$123</f>
        <v>0</v>
      </c>
      <c r="AJ15" s="43"/>
      <c r="AK15" s="43">
        <f>'$$xSchpostCouncil 22'!AK15/'$$xSchpostCouncil 22'!AK$123</f>
        <v>0</v>
      </c>
      <c r="AL15" s="43">
        <f>'$$xSchpostCouncil 22'!AL15/'$$xSchpostCouncil 22'!AL$123</f>
        <v>0</v>
      </c>
      <c r="AM15" s="6"/>
      <c r="AN15" s="6"/>
      <c r="AO15" s="43">
        <f>'$$xSchpostCouncil 22'!AO15/'$$xSchpostCouncil 22'!AO$123</f>
        <v>0</v>
      </c>
      <c r="AP15" s="43">
        <f>'$$xSchpostCouncil 22'!AP15/'$$xSchpostCouncil 22'!AP$123</f>
        <v>0.31999928932476968</v>
      </c>
      <c r="AQ15" s="43">
        <f>'$$xSchpostCouncil 22'!AQ15/'$$xSchpostCouncil 22'!AQ$123</f>
        <v>0</v>
      </c>
      <c r="AR15" s="6"/>
      <c r="AS15" s="6"/>
      <c r="AT15" s="6"/>
      <c r="AU15" s="6"/>
      <c r="AV15" s="6"/>
      <c r="AW15" s="6">
        <v>0</v>
      </c>
      <c r="AX15" s="6"/>
      <c r="AY15" s="6"/>
      <c r="AZ15" s="6">
        <v>82434.090000000011</v>
      </c>
      <c r="BA15" s="6"/>
      <c r="BB15" s="6"/>
      <c r="BC15" s="43">
        <f>'$$xSchpostCouncil 22'!BC15/'$$xSchpostCouncil 22'!BC$123</f>
        <v>0</v>
      </c>
      <c r="BD15" s="43">
        <f>'$$xSchpostCouncil 22'!BD15/'$$xSchpostCouncil 22'!BD$123</f>
        <v>0</v>
      </c>
      <c r="BE15" s="6"/>
      <c r="BF15" s="6"/>
      <c r="BG15" s="6"/>
      <c r="BH15" s="43">
        <f>'$$xSchpostCouncil 22'!BH15/'$$xSchpostCouncil 22'!BH$123</f>
        <v>1</v>
      </c>
      <c r="BI15" s="6">
        <v>34130</v>
      </c>
      <c r="BJ15" s="43">
        <f>'$$xSchpostCouncil 22'!BJ15/'$$xSchpostCouncil 22'!BJ$123</f>
        <v>0</v>
      </c>
      <c r="BK15" s="6"/>
      <c r="BL15" s="43">
        <f>'$$xSchpostCouncil 22'!BL15/'$$xSchpostCouncil 22'!BL$123</f>
        <v>0</v>
      </c>
      <c r="BM15" s="6"/>
      <c r="BN15" s="43">
        <f>'$$xSchpostCouncil 22'!BN15/'$$xSchpostCouncil 22'!BN$123</f>
        <v>0</v>
      </c>
      <c r="BO15" s="43">
        <f>'$$xSchpostCouncil 22'!BO15/'$$xSchpostCouncil 22'!BO$123</f>
        <v>0</v>
      </c>
      <c r="BP15" s="6"/>
      <c r="BQ15" s="6"/>
      <c r="BR15" s="6"/>
      <c r="BS15" s="6">
        <v>690480</v>
      </c>
      <c r="BT15" s="6"/>
      <c r="BU15" s="43">
        <f>'$$xSchpostCouncil 22'!BU15/'$$xSchpostCouncil 22'!BU$123</f>
        <v>0</v>
      </c>
      <c r="BV15" s="43">
        <f>'$$xSchpostCouncil 22'!BV15/'$$xSchpostCouncil 22'!BV$123</f>
        <v>0</v>
      </c>
      <c r="BW15" s="43">
        <f>'$$xSchpostCouncil 22'!BW15/'$$xSchpostCouncil 22'!BW$123</f>
        <v>0</v>
      </c>
      <c r="BX15" s="6">
        <v>387327.35</v>
      </c>
      <c r="BY15" s="6"/>
      <c r="BZ15" s="6"/>
      <c r="CA15" s="6"/>
      <c r="CB15" s="6"/>
      <c r="CC15" s="6"/>
      <c r="CD15" s="6"/>
      <c r="CE15" s="6"/>
      <c r="CF15" s="6">
        <v>0</v>
      </c>
      <c r="CI15" s="43">
        <f>'$$xSchpostCouncil 22'!CI15/'$$xSchpostCouncil 22'!CI$123</f>
        <v>1</v>
      </c>
      <c r="CJ15" s="43">
        <f>'$$xSchpostCouncil 22'!CJ15/'$$xSchpostCouncil 22'!CJ$123</f>
        <v>1.8999993611407471</v>
      </c>
      <c r="CK15" s="43">
        <f>'$$xSchpostCouncil 22'!CK15/'$$xSchpostCouncil 22'!CK$123</f>
        <v>1</v>
      </c>
      <c r="CL15" s="43">
        <f>'$$xSchpostCouncil 22'!CL15/'$$xSchpostCouncil 22'!CL$123</f>
        <v>1.4000078990501392</v>
      </c>
      <c r="CM15" s="43">
        <f>'$$xSchpostCouncil 22'!CM15/'$$xSchpostCouncil 22'!CM$123</f>
        <v>1</v>
      </c>
      <c r="CN15" s="43">
        <f>'$$xSchpostCouncil 22'!CN15/'$$xSchpostCouncil 22'!CN$123</f>
        <v>1</v>
      </c>
      <c r="CO15" s="43">
        <f>'$$xSchpostCouncil 22'!CO15/'$$xSchpostCouncil 22'!CO$123</f>
        <v>0</v>
      </c>
      <c r="CP15" s="43">
        <f>'$$xSchpostCouncil 22'!CP15/'$$xSchpostCouncil 22'!CP$123</f>
        <v>0</v>
      </c>
      <c r="CQ15" s="43">
        <f>'$$xSchpostCouncil 22'!CQ15/'$$xSchpostCouncil 22'!CQ$123</f>
        <v>23.799998223311924</v>
      </c>
      <c r="CR15" s="43">
        <f>'$$xSchpostCouncil 22'!CR15/'$$xSchpostCouncil 22'!CR$123</f>
        <v>0</v>
      </c>
      <c r="CS15" s="6"/>
      <c r="CT15" s="6"/>
      <c r="CU15" s="6"/>
      <c r="CV15" s="43">
        <f>'$$xSchpostCouncil 22'!CV15/'$$xSchpostCouncil 22'!CV$123</f>
        <v>1</v>
      </c>
      <c r="CW15" s="43">
        <f>'$$xSchpostCouncil 22'!CW15/'$$xSchpostCouncil 22'!CW$123</f>
        <v>0</v>
      </c>
      <c r="CX15" s="6">
        <v>0</v>
      </c>
      <c r="CY15" s="6"/>
      <c r="CZ15" s="6"/>
      <c r="DB15" s="43">
        <f>'$$xSchpostCouncil 22'!DB15/'$$xSchpostCouncil 22'!DB$123</f>
        <v>0</v>
      </c>
      <c r="DC15" s="43">
        <f>'$$xSchpostCouncil 22'!DC15/'$$xSchpostCouncil 22'!DC$123</f>
        <v>0</v>
      </c>
      <c r="DF15" s="43">
        <f>'$$xSchpostCouncil 22'!DF15/'$$xSchpostCouncil 22'!DF$123</f>
        <v>0</v>
      </c>
      <c r="DG15" s="43">
        <f>'$$xSchpostCouncil 22'!DG15/'$$xSchpostCouncil 22'!DG$123</f>
        <v>0</v>
      </c>
      <c r="DH15" s="43">
        <f>'$$xSchpostCouncil 22'!DH15/'$$xSchpostCouncil 22'!DH$123</f>
        <v>0</v>
      </c>
      <c r="DI15" s="43">
        <f>'$$xSchpostCouncil 22'!DI15/'$$xSchpostCouncil 22'!DI$123</f>
        <v>0</v>
      </c>
      <c r="DJ15" s="43">
        <f>'$$xSchpostCouncil 22'!DJ15/'$$xSchpostCouncil 22'!DJ$123</f>
        <v>0</v>
      </c>
      <c r="DK15" s="43">
        <f>'$$xSchpostCouncil 22'!DK15/'$$xSchpostCouncil 22'!DK$123</f>
        <v>0</v>
      </c>
      <c r="DL15" s="6"/>
      <c r="DM15" s="6"/>
      <c r="DN15" s="43">
        <f>'$$xSchpostCouncil 22'!DN15/'$$xSchpostCouncil 22'!DN$123</f>
        <v>0</v>
      </c>
      <c r="DO15" s="6"/>
      <c r="DP15" s="6">
        <v>175</v>
      </c>
      <c r="DU15" s="6">
        <f>VLOOKUP($A15,[3]Totals!$B$2:$K$119,10,FALSE)</f>
        <v>32614.77</v>
      </c>
      <c r="DV15" s="6">
        <f>VLOOKUP($A15,[3]Totals!$B$2:$K$119,9,FALSE)</f>
        <v>245811</v>
      </c>
    </row>
    <row r="16" spans="1:126" x14ac:dyDescent="0.2">
      <c r="A16" s="3">
        <v>291</v>
      </c>
      <c r="B16" s="2" t="s">
        <v>114</v>
      </c>
      <c r="C16" t="s">
        <v>7</v>
      </c>
      <c r="D16">
        <v>8</v>
      </c>
      <c r="E16" s="1">
        <v>434</v>
      </c>
      <c r="F16" s="4">
        <v>0.69799999999999995</v>
      </c>
      <c r="G16">
        <v>303</v>
      </c>
      <c r="H16" s="43">
        <f>'$$xSchpostCouncil 22'!H16/'$$xSchpostCouncil 22'!H$123</f>
        <v>1</v>
      </c>
      <c r="I16" s="43">
        <f>'$$xSchpostCouncil 22'!I16/'$$xSchpostCouncil 22'!I$123</f>
        <v>0</v>
      </c>
      <c r="J16" s="43">
        <f>'$$xSchpostCouncil 22'!J16/'$$xSchpostCouncil 22'!J$123</f>
        <v>0</v>
      </c>
      <c r="K16" s="43">
        <f>'$$xSchpostCouncil 22'!K16/'$$xSchpostCouncil 22'!K$123</f>
        <v>1</v>
      </c>
      <c r="L16" s="6">
        <v>5804</v>
      </c>
      <c r="M16" s="43">
        <f>'$$xSchpostCouncil 22'!M16/'$$xSchpostCouncil 22'!M$123</f>
        <v>1</v>
      </c>
      <c r="N16" s="43">
        <f>'$$xSchpostCouncil 22'!N16/'$$xSchpostCouncil 22'!N$123</f>
        <v>1</v>
      </c>
      <c r="O16" s="43">
        <f>'$$xSchpostCouncil 22'!O16/'$$xSchpostCouncil 22'!O$123</f>
        <v>2</v>
      </c>
      <c r="P16" s="43">
        <f>'$$xSchpostCouncil 22'!P16/'$$xSchpostCouncil 22'!P$123</f>
        <v>1</v>
      </c>
      <c r="Q16" s="43">
        <f>'$$xSchpostCouncil 22'!Q16/'$$xSchpostCouncil 22'!Q$123</f>
        <v>3</v>
      </c>
      <c r="R16" s="43">
        <f>'$$xSchpostCouncil 22'!R16/'$$xSchpostCouncil 22'!R$123</f>
        <v>0</v>
      </c>
      <c r="S16" s="43">
        <f>'$$xSchpostCouncil 22'!S16/'$$xSchpostCouncil 22'!S$123</f>
        <v>3</v>
      </c>
      <c r="T16" s="43">
        <f>'$$xSchpostCouncil 22'!T16/'$$xSchpostCouncil 22'!T$123</f>
        <v>6</v>
      </c>
      <c r="U16" s="6"/>
      <c r="V16" s="6"/>
      <c r="W16" s="6"/>
      <c r="X16" s="6"/>
      <c r="Y16" s="43">
        <f>'$$xSchpostCouncil 22'!Y16/'$$xSchpostCouncil 22'!Y$123</f>
        <v>0</v>
      </c>
      <c r="Z16" s="43">
        <f>'$$xSchpostCouncil 22'!Z16/'$$xSchpostCouncil 22'!Z$123</f>
        <v>0</v>
      </c>
      <c r="AA16" s="43">
        <f>'$$xSchpostCouncil 22'!AA16/'$$xSchpostCouncil 22'!AA$123</f>
        <v>0</v>
      </c>
      <c r="AB16" s="43">
        <f>'$$xSchpostCouncil 22'!AB16/'$$xSchpostCouncil 22'!AB$123</f>
        <v>0</v>
      </c>
      <c r="AC16" s="6"/>
      <c r="AD16" s="6">
        <v>153632</v>
      </c>
      <c r="AE16" s="43">
        <f>'$$xSchpostCouncil 22'!AE16/'$$xSchpostCouncil 22'!AE$123</f>
        <v>1</v>
      </c>
      <c r="AF16" s="43">
        <f>'$$xSchpostCouncil 22'!AF16/'$$xSchpostCouncil 22'!AF$123</f>
        <v>2</v>
      </c>
      <c r="AG16" s="43">
        <f>'$$xSchpostCouncil 22'!AG16/'$$xSchpostCouncil 22'!AG$123</f>
        <v>6</v>
      </c>
      <c r="AH16" s="43">
        <f>'$$xSchpostCouncil 22'!AH16/'$$xSchpostCouncil 22'!AH$123</f>
        <v>0</v>
      </c>
      <c r="AI16" s="43">
        <f>'$$xSchpostCouncil 22'!AI16/'$$xSchpostCouncil 22'!AI$123</f>
        <v>6</v>
      </c>
      <c r="AJ16" s="43"/>
      <c r="AK16" s="43">
        <f>'$$xSchpostCouncil 22'!AK16/'$$xSchpostCouncil 22'!AK$123</f>
        <v>0</v>
      </c>
      <c r="AL16" s="43">
        <f>'$$xSchpostCouncil 22'!AL16/'$$xSchpostCouncil 22'!AL$123</f>
        <v>0</v>
      </c>
      <c r="AM16" s="6"/>
      <c r="AN16" s="6"/>
      <c r="AO16" s="43">
        <f>'$$xSchpostCouncil 22'!AO16/'$$xSchpostCouncil 22'!AO$123</f>
        <v>0</v>
      </c>
      <c r="AP16" s="43">
        <f>'$$xSchpostCouncil 22'!AP16/'$$xSchpostCouncil 22'!AP$123</f>
        <v>8.9998134477520447E-2</v>
      </c>
      <c r="AQ16" s="43">
        <f>'$$xSchpostCouncil 22'!AQ16/'$$xSchpostCouncil 22'!AQ$123</f>
        <v>0</v>
      </c>
      <c r="AR16" s="6"/>
      <c r="AS16" s="6">
        <f>34000-20400</f>
        <v>13600</v>
      </c>
      <c r="AT16" s="6">
        <f>34000-20400</f>
        <v>13600</v>
      </c>
      <c r="AU16" s="6">
        <v>10200</v>
      </c>
      <c r="AV16" s="6"/>
      <c r="AW16" s="6">
        <v>40800</v>
      </c>
      <c r="AX16" s="6"/>
      <c r="AY16" s="6"/>
      <c r="AZ16" s="6">
        <v>196790.53</v>
      </c>
      <c r="BA16" s="6"/>
      <c r="BB16" s="6"/>
      <c r="BC16" s="43">
        <f>'$$xSchpostCouncil 22'!BC16/'$$xSchpostCouncil 22'!BC$123</f>
        <v>0</v>
      </c>
      <c r="BD16" s="43">
        <f>'$$xSchpostCouncil 22'!BD16/'$$xSchpostCouncil 22'!BD$123</f>
        <v>0</v>
      </c>
      <c r="BE16" s="6"/>
      <c r="BF16" s="6"/>
      <c r="BG16" s="6"/>
      <c r="BH16" s="43">
        <f>'$$xSchpostCouncil 22'!BH16/'$$xSchpostCouncil 22'!BH$123</f>
        <v>0</v>
      </c>
      <c r="BI16" s="6"/>
      <c r="BJ16" s="43">
        <f>'$$xSchpostCouncil 22'!BJ16/'$$xSchpostCouncil 22'!BJ$123</f>
        <v>0</v>
      </c>
      <c r="BK16" s="6"/>
      <c r="BL16" s="43">
        <f>'$$xSchpostCouncil 22'!BL16/'$$xSchpostCouncil 22'!BL$123</f>
        <v>0</v>
      </c>
      <c r="BM16" s="6"/>
      <c r="BN16" s="43">
        <f>'$$xSchpostCouncil 22'!BN16/'$$xSchpostCouncil 22'!BN$123</f>
        <v>0</v>
      </c>
      <c r="BO16" s="43">
        <f>'$$xSchpostCouncil 22'!BO16/'$$xSchpostCouncil 22'!BO$123</f>
        <v>0</v>
      </c>
      <c r="BP16" s="6"/>
      <c r="BQ16" s="6"/>
      <c r="BR16" s="6"/>
      <c r="BS16" s="6"/>
      <c r="BT16" s="6"/>
      <c r="BU16" s="43">
        <f>'$$xSchpostCouncil 22'!BU16/'$$xSchpostCouncil 22'!BU$123</f>
        <v>0</v>
      </c>
      <c r="BV16" s="43">
        <f>'$$xSchpostCouncil 22'!BV16/'$$xSchpostCouncil 22'!BV$123</f>
        <v>0</v>
      </c>
      <c r="BW16" s="43">
        <f>'$$xSchpostCouncil 22'!BW16/'$$xSchpostCouncil 22'!BW$123</f>
        <v>0</v>
      </c>
      <c r="BX16" s="6">
        <v>767050.86</v>
      </c>
      <c r="BY16" s="6"/>
      <c r="BZ16" s="6"/>
      <c r="CA16" s="6"/>
      <c r="CB16" s="6"/>
      <c r="CC16" s="6"/>
      <c r="CD16" s="6"/>
      <c r="CE16" s="6">
        <v>112569</v>
      </c>
      <c r="CF16" s="6">
        <v>112569</v>
      </c>
      <c r="CI16" s="43">
        <f>'$$xSchpostCouncil 22'!CI16/'$$xSchpostCouncil 22'!CI$123</f>
        <v>1</v>
      </c>
      <c r="CJ16" s="43">
        <f>'$$xSchpostCouncil 22'!CJ16/'$$xSchpostCouncil 22'!CJ$123</f>
        <v>1.1000006388592529</v>
      </c>
      <c r="CK16" s="43">
        <f>'$$xSchpostCouncil 22'!CK16/'$$xSchpostCouncil 22'!CK$123</f>
        <v>1</v>
      </c>
      <c r="CL16" s="43">
        <f>'$$xSchpostCouncil 22'!CL16/'$$xSchpostCouncil 22'!CL$123</f>
        <v>1.1000019747625347</v>
      </c>
      <c r="CM16" s="43">
        <f>'$$xSchpostCouncil 22'!CM16/'$$xSchpostCouncil 22'!CM$123</f>
        <v>0</v>
      </c>
      <c r="CN16" s="43">
        <f>'$$xSchpostCouncil 22'!CN16/'$$xSchpostCouncil 22'!CN$123</f>
        <v>0</v>
      </c>
      <c r="CO16" s="43">
        <f>'$$xSchpostCouncil 22'!CO16/'$$xSchpostCouncil 22'!CO$123</f>
        <v>4.500004441720189</v>
      </c>
      <c r="CP16" s="43">
        <f>'$$xSchpostCouncil 22'!CP16/'$$xSchpostCouncil 22'!CP$123</f>
        <v>3</v>
      </c>
      <c r="CQ16" s="43">
        <f>'$$xSchpostCouncil 22'!CQ16/'$$xSchpostCouncil 22'!CQ$123</f>
        <v>17</v>
      </c>
      <c r="CR16" s="43">
        <f>'$$xSchpostCouncil 22'!CR16/'$$xSchpostCouncil 22'!CR$123</f>
        <v>0</v>
      </c>
      <c r="CS16" s="6"/>
      <c r="CT16" s="6"/>
      <c r="CU16" s="6"/>
      <c r="CV16" s="43">
        <f>'$$xSchpostCouncil 22'!CV16/'$$xSchpostCouncil 22'!CV$123</f>
        <v>0</v>
      </c>
      <c r="CW16" s="43">
        <f>'$$xSchpostCouncil 22'!CW16/'$$xSchpostCouncil 22'!CW$123</f>
        <v>0</v>
      </c>
      <c r="CX16" s="6">
        <v>0</v>
      </c>
      <c r="CY16" s="6"/>
      <c r="CZ16" s="6"/>
      <c r="DB16" s="43">
        <f>'$$xSchpostCouncil 22'!DB16/'$$xSchpostCouncil 22'!DB$123</f>
        <v>0</v>
      </c>
      <c r="DC16" s="43">
        <f>'$$xSchpostCouncil 22'!DC16/'$$xSchpostCouncil 22'!DC$123</f>
        <v>0</v>
      </c>
      <c r="DF16" s="43">
        <f>'$$xSchpostCouncil 22'!DF16/'$$xSchpostCouncil 22'!DF$123</f>
        <v>0</v>
      </c>
      <c r="DG16" s="43">
        <f>'$$xSchpostCouncil 22'!DG16/'$$xSchpostCouncil 22'!DG$123</f>
        <v>0</v>
      </c>
      <c r="DH16" s="43">
        <f>'$$xSchpostCouncil 22'!DH16/'$$xSchpostCouncil 22'!DH$123</f>
        <v>0</v>
      </c>
      <c r="DI16" s="43">
        <f>'$$xSchpostCouncil 22'!DI16/'$$xSchpostCouncil 22'!DI$123</f>
        <v>0</v>
      </c>
      <c r="DJ16" s="43">
        <f>'$$xSchpostCouncil 22'!DJ16/'$$xSchpostCouncil 22'!DJ$123</f>
        <v>0</v>
      </c>
      <c r="DK16" s="43">
        <f>'$$xSchpostCouncil 22'!DK16/'$$xSchpostCouncil 22'!DK$123</f>
        <v>0</v>
      </c>
      <c r="DL16" s="6">
        <v>6056</v>
      </c>
      <c r="DM16" s="6"/>
      <c r="DN16" s="43">
        <f>'$$xSchpostCouncil 22'!DN16/'$$xSchpostCouncil 22'!DN$123</f>
        <v>0</v>
      </c>
      <c r="DO16" s="6"/>
      <c r="DP16" s="6">
        <v>28600</v>
      </c>
      <c r="DU16" s="6">
        <f>VLOOKUP($A16,[3]Totals!$B$2:$K$119,10,FALSE)</f>
        <v>319848.02</v>
      </c>
      <c r="DV16" s="6">
        <f>VLOOKUP($A16,[3]Totals!$B$2:$K$119,9,FALSE)</f>
        <v>360476</v>
      </c>
    </row>
    <row r="17" spans="1:126" x14ac:dyDescent="0.2">
      <c r="A17" s="3">
        <v>212</v>
      </c>
      <c r="B17" s="2" t="s">
        <v>113</v>
      </c>
      <c r="C17" t="s">
        <v>7</v>
      </c>
      <c r="D17">
        <v>6</v>
      </c>
      <c r="E17" s="1">
        <v>446</v>
      </c>
      <c r="F17" s="4">
        <v>5.8000000000000003E-2</v>
      </c>
      <c r="G17">
        <v>26</v>
      </c>
      <c r="H17" s="43">
        <f>'$$xSchpostCouncil 22'!H17/'$$xSchpostCouncil 22'!H$123</f>
        <v>1</v>
      </c>
      <c r="I17" s="43">
        <f>'$$xSchpostCouncil 22'!I17/'$$xSchpostCouncil 22'!I$123</f>
        <v>0</v>
      </c>
      <c r="J17" s="43">
        <f>'$$xSchpostCouncil 22'!J17/'$$xSchpostCouncil 22'!J$123</f>
        <v>0</v>
      </c>
      <c r="K17" s="43">
        <f>'$$xSchpostCouncil 22'!K17/'$$xSchpostCouncil 22'!K$123</f>
        <v>1</v>
      </c>
      <c r="L17" s="6">
        <v>5169</v>
      </c>
      <c r="M17" s="43">
        <f>'$$xSchpostCouncil 22'!M17/'$$xSchpostCouncil 22'!M$123</f>
        <v>1</v>
      </c>
      <c r="N17" s="43">
        <f>'$$xSchpostCouncil 22'!N17/'$$xSchpostCouncil 22'!N$123</f>
        <v>1</v>
      </c>
      <c r="O17" s="43">
        <f>'$$xSchpostCouncil 22'!O17/'$$xSchpostCouncil 22'!O$123</f>
        <v>2</v>
      </c>
      <c r="P17" s="43">
        <f>'$$xSchpostCouncil 22'!P17/'$$xSchpostCouncil 22'!P$123</f>
        <v>1</v>
      </c>
      <c r="Q17" s="43">
        <f>'$$xSchpostCouncil 22'!Q17/'$$xSchpostCouncil 22'!Q$123</f>
        <v>0</v>
      </c>
      <c r="R17" s="43">
        <f>'$$xSchpostCouncil 22'!R17/'$$xSchpostCouncil 22'!R$123</f>
        <v>4</v>
      </c>
      <c r="S17" s="43">
        <f>'$$xSchpostCouncil 22'!S17/'$$xSchpostCouncil 22'!S$123</f>
        <v>0</v>
      </c>
      <c r="T17" s="43">
        <f>'$$xSchpostCouncil 22'!T17/'$$xSchpostCouncil 22'!T$123</f>
        <v>4</v>
      </c>
      <c r="U17" s="6"/>
      <c r="V17" s="6"/>
      <c r="W17" s="6"/>
      <c r="X17" s="6"/>
      <c r="Y17" s="43">
        <f>'$$xSchpostCouncil 22'!Y17/'$$xSchpostCouncil 22'!Y$123</f>
        <v>0</v>
      </c>
      <c r="Z17" s="43">
        <f>'$$xSchpostCouncil 22'!Z17/'$$xSchpostCouncil 22'!Z$123</f>
        <v>0</v>
      </c>
      <c r="AA17" s="43">
        <f>'$$xSchpostCouncil 22'!AA17/'$$xSchpostCouncil 22'!AA$123</f>
        <v>0</v>
      </c>
      <c r="AB17" s="43">
        <f>'$$xSchpostCouncil 22'!AB17/'$$xSchpostCouncil 22'!AB$123</f>
        <v>0</v>
      </c>
      <c r="AC17" s="6"/>
      <c r="AD17" s="6">
        <v>144900</v>
      </c>
      <c r="AE17" s="43">
        <f>'$$xSchpostCouncil 22'!AE17/'$$xSchpostCouncil 22'!AE$123</f>
        <v>1</v>
      </c>
      <c r="AF17" s="43">
        <f>'$$xSchpostCouncil 22'!AF17/'$$xSchpostCouncil 22'!AF$123</f>
        <v>1</v>
      </c>
      <c r="AG17" s="43">
        <f>'$$xSchpostCouncil 22'!AG17/'$$xSchpostCouncil 22'!AG$123</f>
        <v>4</v>
      </c>
      <c r="AH17" s="43">
        <f>'$$xSchpostCouncil 22'!AH17/'$$xSchpostCouncil 22'!AH$123</f>
        <v>0</v>
      </c>
      <c r="AI17" s="43">
        <f>'$$xSchpostCouncil 22'!AI17/'$$xSchpostCouncil 22'!AI$123</f>
        <v>0</v>
      </c>
      <c r="AJ17" s="43"/>
      <c r="AK17" s="43">
        <f>'$$xSchpostCouncil 22'!AK17/'$$xSchpostCouncil 22'!AK$123</f>
        <v>0</v>
      </c>
      <c r="AL17" s="43">
        <f>'$$xSchpostCouncil 22'!AL17/'$$xSchpostCouncil 22'!AL$123</f>
        <v>0</v>
      </c>
      <c r="AM17" s="6"/>
      <c r="AN17" s="6"/>
      <c r="AO17" s="43">
        <f>'$$xSchpostCouncil 22'!AO17/'$$xSchpostCouncil 22'!AO$123</f>
        <v>1</v>
      </c>
      <c r="AP17" s="43">
        <f>'$$xSchpostCouncil 22'!AP17/'$$xSchpostCouncil 22'!AP$123</f>
        <v>0</v>
      </c>
      <c r="AQ17" s="43">
        <f>'$$xSchpostCouncil 22'!AQ17/'$$xSchpostCouncil 22'!AQ$123</f>
        <v>0</v>
      </c>
      <c r="AR17" s="6"/>
      <c r="AS17" s="6"/>
      <c r="AT17" s="6"/>
      <c r="AU17" s="6"/>
      <c r="AV17" s="6"/>
      <c r="AW17" s="6">
        <v>0</v>
      </c>
      <c r="AX17" s="6"/>
      <c r="AY17" s="6"/>
      <c r="AZ17" s="6">
        <v>0</v>
      </c>
      <c r="BA17" s="6"/>
      <c r="BB17" s="6">
        <v>11150</v>
      </c>
      <c r="BC17" s="43">
        <f>'$$xSchpostCouncil 22'!BC17/'$$xSchpostCouncil 22'!BC$123</f>
        <v>0</v>
      </c>
      <c r="BD17" s="43">
        <f>'$$xSchpostCouncil 22'!BD17/'$$xSchpostCouncil 22'!BD$123</f>
        <v>0</v>
      </c>
      <c r="BE17" s="6"/>
      <c r="BF17" s="6"/>
      <c r="BG17" s="6"/>
      <c r="BH17" s="43">
        <f>'$$xSchpostCouncil 22'!BH17/'$$xSchpostCouncil 22'!BH$123</f>
        <v>0</v>
      </c>
      <c r="BI17" s="6"/>
      <c r="BJ17" s="43">
        <f>'$$xSchpostCouncil 22'!BJ17/'$$xSchpostCouncil 22'!BJ$123</f>
        <v>0</v>
      </c>
      <c r="BK17" s="6"/>
      <c r="BL17" s="43">
        <f>'$$xSchpostCouncil 22'!BL17/'$$xSchpostCouncil 22'!BL$123</f>
        <v>0</v>
      </c>
      <c r="BM17" s="6"/>
      <c r="BN17" s="43">
        <f>'$$xSchpostCouncil 22'!BN17/'$$xSchpostCouncil 22'!BN$123</f>
        <v>0</v>
      </c>
      <c r="BO17" s="43">
        <f>'$$xSchpostCouncil 22'!BO17/'$$xSchpostCouncil 22'!BO$123</f>
        <v>0</v>
      </c>
      <c r="BP17" s="6"/>
      <c r="BQ17" s="6"/>
      <c r="BR17" s="6"/>
      <c r="BS17" s="6"/>
      <c r="BT17" s="6"/>
      <c r="BU17" s="43">
        <f>'$$xSchpostCouncil 22'!BU17/'$$xSchpostCouncil 22'!BU$123</f>
        <v>0</v>
      </c>
      <c r="BV17" s="43">
        <f>'$$xSchpostCouncil 22'!BV17/'$$xSchpostCouncil 22'!BV$123</f>
        <v>0</v>
      </c>
      <c r="BW17" s="43">
        <f>'$$xSchpostCouncil 22'!BW17/'$$xSchpostCouncil 22'!BW$123</f>
        <v>0</v>
      </c>
      <c r="BX17" s="6">
        <v>65820</v>
      </c>
      <c r="BY17" s="6"/>
      <c r="BZ17" s="6"/>
      <c r="CA17" s="6"/>
      <c r="CB17" s="6"/>
      <c r="CC17" s="6"/>
      <c r="CD17" s="6"/>
      <c r="CE17" s="6"/>
      <c r="CF17" s="6">
        <v>0</v>
      </c>
      <c r="CI17" s="43">
        <f>'$$xSchpostCouncil 22'!CI17/'$$xSchpostCouncil 22'!CI$123</f>
        <v>1</v>
      </c>
      <c r="CJ17" s="43">
        <f>'$$xSchpostCouncil 22'!CJ17/'$$xSchpostCouncil 22'!CJ$123</f>
        <v>1.1000006388592529</v>
      </c>
      <c r="CK17" s="43">
        <f>'$$xSchpostCouncil 22'!CK17/'$$xSchpostCouncil 22'!CK$123</f>
        <v>1</v>
      </c>
      <c r="CL17" s="43">
        <f>'$$xSchpostCouncil 22'!CL17/'$$xSchpostCouncil 22'!CL$123</f>
        <v>1.1000019747625347</v>
      </c>
      <c r="CM17" s="43">
        <f>'$$xSchpostCouncil 22'!CM17/'$$xSchpostCouncil 22'!CM$123</f>
        <v>0</v>
      </c>
      <c r="CN17" s="43">
        <f>'$$xSchpostCouncil 22'!CN17/'$$xSchpostCouncil 22'!CN$123</f>
        <v>0</v>
      </c>
      <c r="CO17" s="43">
        <f>'$$xSchpostCouncil 22'!CO17/'$$xSchpostCouncil 22'!CO$123</f>
        <v>4.500004441720189</v>
      </c>
      <c r="CP17" s="43">
        <f>'$$xSchpostCouncil 22'!CP17/'$$xSchpostCouncil 22'!CP$123</f>
        <v>3</v>
      </c>
      <c r="CQ17" s="43">
        <f>'$$xSchpostCouncil 22'!CQ17/'$$xSchpostCouncil 22'!CQ$123</f>
        <v>18</v>
      </c>
      <c r="CR17" s="43">
        <f>'$$xSchpostCouncil 22'!CR17/'$$xSchpostCouncil 22'!CR$123</f>
        <v>0</v>
      </c>
      <c r="CS17" s="6"/>
      <c r="CT17" s="6"/>
      <c r="CU17" s="6"/>
      <c r="CV17" s="43">
        <f>'$$xSchpostCouncil 22'!CV17/'$$xSchpostCouncil 22'!CV$123</f>
        <v>0</v>
      </c>
      <c r="CW17" s="43">
        <f>'$$xSchpostCouncil 22'!CW17/'$$xSchpostCouncil 22'!CW$123</f>
        <v>0</v>
      </c>
      <c r="CX17" s="6">
        <v>0</v>
      </c>
      <c r="CY17" s="6"/>
      <c r="CZ17" s="6"/>
      <c r="DB17" s="43">
        <f>'$$xSchpostCouncil 22'!DB17/'$$xSchpostCouncil 22'!DB$123</f>
        <v>0</v>
      </c>
      <c r="DC17" s="43">
        <f>'$$xSchpostCouncil 22'!DC17/'$$xSchpostCouncil 22'!DC$123</f>
        <v>0</v>
      </c>
      <c r="DF17" s="43">
        <f>'$$xSchpostCouncil 22'!DF17/'$$xSchpostCouncil 22'!DF$123</f>
        <v>0</v>
      </c>
      <c r="DG17" s="43">
        <f>'$$xSchpostCouncil 22'!DG17/'$$xSchpostCouncil 22'!DG$123</f>
        <v>0</v>
      </c>
      <c r="DH17" s="43">
        <f>'$$xSchpostCouncil 22'!DH17/'$$xSchpostCouncil 22'!DH$123</f>
        <v>0</v>
      </c>
      <c r="DI17" s="43">
        <f>'$$xSchpostCouncil 22'!DI17/'$$xSchpostCouncil 22'!DI$123</f>
        <v>0</v>
      </c>
      <c r="DJ17" s="43">
        <f>'$$xSchpostCouncil 22'!DJ17/'$$xSchpostCouncil 22'!DJ$123</f>
        <v>0</v>
      </c>
      <c r="DK17" s="43">
        <f>'$$xSchpostCouncil 22'!DK17/'$$xSchpostCouncil 22'!DK$123</f>
        <v>0</v>
      </c>
      <c r="DL17" s="6"/>
      <c r="DM17" s="6"/>
      <c r="DN17" s="43">
        <f>'$$xSchpostCouncil 22'!DN17/'$$xSchpostCouncil 22'!DN$123</f>
        <v>0</v>
      </c>
      <c r="DO17" s="6"/>
      <c r="DP17" s="6">
        <v>2800</v>
      </c>
      <c r="DU17" s="6">
        <f>VLOOKUP($A17,[3]Totals!$B$2:$K$119,10,FALSE)</f>
        <v>47319.33</v>
      </c>
      <c r="DV17" s="6">
        <f>VLOOKUP($A17,[3]Totals!$B$2:$K$119,9,FALSE)</f>
        <v>56854</v>
      </c>
    </row>
    <row r="18" spans="1:126" x14ac:dyDescent="0.2">
      <c r="A18" s="3">
        <v>213</v>
      </c>
      <c r="B18" s="2" t="s">
        <v>112</v>
      </c>
      <c r="C18" t="s">
        <v>4</v>
      </c>
      <c r="D18">
        <v>4</v>
      </c>
      <c r="E18" s="1">
        <v>568</v>
      </c>
      <c r="F18" s="4">
        <v>0.433</v>
      </c>
      <c r="G18">
        <v>246</v>
      </c>
      <c r="H18" s="43">
        <f>'$$xSchpostCouncil 22'!H18/'$$xSchpostCouncil 22'!H$123</f>
        <v>1</v>
      </c>
      <c r="I18" s="43">
        <f>'$$xSchpostCouncil 22'!I18/'$$xSchpostCouncil 22'!I$123</f>
        <v>0</v>
      </c>
      <c r="J18" s="43">
        <f>'$$xSchpostCouncil 22'!J18/'$$xSchpostCouncil 22'!J$123</f>
        <v>0</v>
      </c>
      <c r="K18" s="43">
        <f>'$$xSchpostCouncil 22'!K18/'$$xSchpostCouncil 22'!K$123</f>
        <v>1</v>
      </c>
      <c r="L18" s="6">
        <v>4796</v>
      </c>
      <c r="M18" s="43">
        <f>'$$xSchpostCouncil 22'!M18/'$$xSchpostCouncil 22'!M$123</f>
        <v>1</v>
      </c>
      <c r="N18" s="43">
        <f>'$$xSchpostCouncil 22'!N18/'$$xSchpostCouncil 22'!N$123</f>
        <v>1</v>
      </c>
      <c r="O18" s="43">
        <f>'$$xSchpostCouncil 22'!O18/'$$xSchpostCouncil 22'!O$123</f>
        <v>3</v>
      </c>
      <c r="P18" s="43">
        <f>'$$xSchpostCouncil 22'!P18/'$$xSchpostCouncil 22'!P$123</f>
        <v>1</v>
      </c>
      <c r="Q18" s="43">
        <f>'$$xSchpostCouncil 22'!Q18/'$$xSchpostCouncil 22'!Q$123</f>
        <v>3</v>
      </c>
      <c r="R18" s="43">
        <f>'$$xSchpostCouncil 22'!R18/'$$xSchpostCouncil 22'!R$123</f>
        <v>0</v>
      </c>
      <c r="S18" s="43">
        <f>'$$xSchpostCouncil 22'!S18/'$$xSchpostCouncil 22'!S$123</f>
        <v>3</v>
      </c>
      <c r="T18" s="43">
        <f>'$$xSchpostCouncil 22'!T18/'$$xSchpostCouncil 22'!T$123</f>
        <v>6</v>
      </c>
      <c r="U18" s="6"/>
      <c r="V18" s="6"/>
      <c r="W18" s="6"/>
      <c r="X18" s="6"/>
      <c r="Y18" s="43">
        <f>'$$xSchpostCouncil 22'!Y18/'$$xSchpostCouncil 22'!Y$123</f>
        <v>0</v>
      </c>
      <c r="Z18" s="43">
        <f>'$$xSchpostCouncil 22'!Z18/'$$xSchpostCouncil 22'!Z$123</f>
        <v>0</v>
      </c>
      <c r="AA18" s="43">
        <f>'$$xSchpostCouncil 22'!AA18/'$$xSchpostCouncil 22'!AA$123</f>
        <v>0</v>
      </c>
      <c r="AB18" s="43">
        <f>'$$xSchpostCouncil 22'!AB18/'$$xSchpostCouncil 22'!AB$123</f>
        <v>0</v>
      </c>
      <c r="AC18" s="6"/>
      <c r="AD18" s="6">
        <v>246132</v>
      </c>
      <c r="AE18" s="43">
        <f>'$$xSchpostCouncil 22'!AE18/'$$xSchpostCouncil 22'!AE$123</f>
        <v>1</v>
      </c>
      <c r="AF18" s="43">
        <f>'$$xSchpostCouncil 22'!AF18/'$$xSchpostCouncil 22'!AF$123</f>
        <v>2</v>
      </c>
      <c r="AG18" s="43">
        <f>'$$xSchpostCouncil 22'!AG18/'$$xSchpostCouncil 22'!AG$123</f>
        <v>12</v>
      </c>
      <c r="AH18" s="43">
        <f>'$$xSchpostCouncil 22'!AH18/'$$xSchpostCouncil 22'!AH$123</f>
        <v>0</v>
      </c>
      <c r="AI18" s="43">
        <f>'$$xSchpostCouncil 22'!AI18/'$$xSchpostCouncil 22'!AI$123</f>
        <v>6</v>
      </c>
      <c r="AJ18" s="43"/>
      <c r="AK18" s="43">
        <f>'$$xSchpostCouncil 22'!AK18/'$$xSchpostCouncil 22'!AK$123</f>
        <v>0</v>
      </c>
      <c r="AL18" s="43">
        <f>'$$xSchpostCouncil 22'!AL18/'$$xSchpostCouncil 22'!AL$123</f>
        <v>0</v>
      </c>
      <c r="AM18" s="6"/>
      <c r="AN18" s="6"/>
      <c r="AO18" s="43">
        <f>'$$xSchpostCouncil 22'!AO18/'$$xSchpostCouncil 22'!AO$123</f>
        <v>22</v>
      </c>
      <c r="AP18" s="43">
        <f>'$$xSchpostCouncil 22'!AP18/'$$xSchpostCouncil 22'!AP$123</f>
        <v>0</v>
      </c>
      <c r="AQ18" s="43">
        <f>'$$xSchpostCouncil 22'!AQ18/'$$xSchpostCouncil 22'!AQ$123</f>
        <v>1</v>
      </c>
      <c r="AR18" s="6"/>
      <c r="AS18" s="6">
        <f>54400-27300</f>
        <v>27100</v>
      </c>
      <c r="AT18" s="6">
        <f>54400-27300</f>
        <v>27100</v>
      </c>
      <c r="AU18" s="6">
        <v>10200</v>
      </c>
      <c r="AV18" s="6"/>
      <c r="AW18" s="6">
        <v>54400</v>
      </c>
      <c r="AX18" s="6"/>
      <c r="AY18" s="6"/>
      <c r="AZ18" s="6">
        <v>180960.79</v>
      </c>
      <c r="BA18" s="6"/>
      <c r="BB18" s="6"/>
      <c r="BC18" s="43">
        <f>'$$xSchpostCouncil 22'!BC18/'$$xSchpostCouncil 22'!BC$123</f>
        <v>0</v>
      </c>
      <c r="BD18" s="43">
        <f>'$$xSchpostCouncil 22'!BD18/'$$xSchpostCouncil 22'!BD$123</f>
        <v>0</v>
      </c>
      <c r="BE18" s="6"/>
      <c r="BF18" s="6"/>
      <c r="BG18" s="6"/>
      <c r="BH18" s="43">
        <f>'$$xSchpostCouncil 22'!BH18/'$$xSchpostCouncil 22'!BH$123</f>
        <v>0</v>
      </c>
      <c r="BI18" s="6"/>
      <c r="BJ18" s="43">
        <f>'$$xSchpostCouncil 22'!BJ18/'$$xSchpostCouncil 22'!BJ$123</f>
        <v>0</v>
      </c>
      <c r="BK18" s="6"/>
      <c r="BL18" s="43">
        <f>'$$xSchpostCouncil 22'!BL18/'$$xSchpostCouncil 22'!BL$123</f>
        <v>0</v>
      </c>
      <c r="BM18" s="6"/>
      <c r="BN18" s="43">
        <f>'$$xSchpostCouncil 22'!BN18/'$$xSchpostCouncil 22'!BN$123</f>
        <v>0</v>
      </c>
      <c r="BO18" s="43">
        <f>'$$xSchpostCouncil 22'!BO18/'$$xSchpostCouncil 22'!BO$123</f>
        <v>0</v>
      </c>
      <c r="BP18" s="6"/>
      <c r="BQ18" s="6"/>
      <c r="BR18" s="6"/>
      <c r="BS18" s="6"/>
      <c r="BT18" s="6"/>
      <c r="BU18" s="43">
        <f>'$$xSchpostCouncil 22'!BU18/'$$xSchpostCouncil 22'!BU$123</f>
        <v>0</v>
      </c>
      <c r="BV18" s="43">
        <f>'$$xSchpostCouncil 22'!BV18/'$$xSchpostCouncil 22'!BV$123</f>
        <v>0</v>
      </c>
      <c r="BW18" s="43">
        <f>'$$xSchpostCouncil 22'!BW18/'$$xSchpostCouncil 22'!BW$123</f>
        <v>0</v>
      </c>
      <c r="BX18" s="6">
        <v>622754</v>
      </c>
      <c r="BY18" s="6"/>
      <c r="BZ18" s="6"/>
      <c r="CA18" s="6"/>
      <c r="CB18" s="6"/>
      <c r="CC18" s="6">
        <v>535942</v>
      </c>
      <c r="CD18" s="6"/>
      <c r="CE18" s="6"/>
      <c r="CF18" s="6">
        <v>112569</v>
      </c>
      <c r="CI18" s="43">
        <f>'$$xSchpostCouncil 22'!CI18/'$$xSchpostCouncil 22'!CI$123</f>
        <v>1</v>
      </c>
      <c r="CJ18" s="43">
        <f>'$$xSchpostCouncil 22'!CJ18/'$$xSchpostCouncil 22'!CJ$123</f>
        <v>1.4000025554370117</v>
      </c>
      <c r="CK18" s="43">
        <f>'$$xSchpostCouncil 22'!CK18/'$$xSchpostCouncil 22'!CK$123</f>
        <v>1</v>
      </c>
      <c r="CL18" s="43">
        <f>'$$xSchpostCouncil 22'!CL18/'$$xSchpostCouncil 22'!CL$123</f>
        <v>1.4000078990501392</v>
      </c>
      <c r="CM18" s="43">
        <f>'$$xSchpostCouncil 22'!CM18/'$$xSchpostCouncil 22'!CM$123</f>
        <v>0</v>
      </c>
      <c r="CN18" s="43">
        <f>'$$xSchpostCouncil 22'!CN18/'$$xSchpostCouncil 22'!CN$123</f>
        <v>0</v>
      </c>
      <c r="CO18" s="43">
        <f>'$$xSchpostCouncil 22'!CO18/'$$xSchpostCouncil 22'!CO$123</f>
        <v>4.500004441720189</v>
      </c>
      <c r="CP18" s="43">
        <f>'$$xSchpostCouncil 22'!CP18/'$$xSchpostCouncil 22'!CP$123</f>
        <v>4</v>
      </c>
      <c r="CQ18" s="43">
        <f>'$$xSchpostCouncil 22'!CQ18/'$$xSchpostCouncil 22'!CQ$123</f>
        <v>23</v>
      </c>
      <c r="CR18" s="43">
        <f>'$$xSchpostCouncil 22'!CR18/'$$xSchpostCouncil 22'!CR$123</f>
        <v>0</v>
      </c>
      <c r="CS18" s="6"/>
      <c r="CT18" s="6"/>
      <c r="CU18" s="6"/>
      <c r="CV18" s="43">
        <f>'$$xSchpostCouncil 22'!CV18/'$$xSchpostCouncil 22'!CV$123</f>
        <v>0</v>
      </c>
      <c r="CW18" s="43">
        <f>'$$xSchpostCouncil 22'!CW18/'$$xSchpostCouncil 22'!CW$123</f>
        <v>0</v>
      </c>
      <c r="CX18" s="6">
        <v>0</v>
      </c>
      <c r="CY18" s="6"/>
      <c r="CZ18" s="6"/>
      <c r="DB18" s="43">
        <f>'$$xSchpostCouncil 22'!DB18/'$$xSchpostCouncil 22'!DB$123</f>
        <v>4</v>
      </c>
      <c r="DC18" s="43">
        <f>'$$xSchpostCouncil 22'!DC18/'$$xSchpostCouncil 22'!DC$123</f>
        <v>0</v>
      </c>
      <c r="DF18" s="43">
        <f>'$$xSchpostCouncil 22'!DF18/'$$xSchpostCouncil 22'!DF$123</f>
        <v>0</v>
      </c>
      <c r="DG18" s="43">
        <f>'$$xSchpostCouncil 22'!DG18/'$$xSchpostCouncil 22'!DG$123</f>
        <v>1</v>
      </c>
      <c r="DH18" s="43">
        <f>'$$xSchpostCouncil 22'!DH18/'$$xSchpostCouncil 22'!DH$123</f>
        <v>0</v>
      </c>
      <c r="DI18" s="43">
        <f>'$$xSchpostCouncil 22'!DI18/'$$xSchpostCouncil 22'!DI$123</f>
        <v>0</v>
      </c>
      <c r="DJ18" s="43">
        <f>'$$xSchpostCouncil 22'!DJ18/'$$xSchpostCouncil 22'!DJ$123</f>
        <v>0</v>
      </c>
      <c r="DK18" s="43">
        <f>'$$xSchpostCouncil 22'!DK18/'$$xSchpostCouncil 22'!DK$123</f>
        <v>0</v>
      </c>
      <c r="DL18" s="6">
        <v>4925</v>
      </c>
      <c r="DM18" s="6"/>
      <c r="DN18" s="43">
        <f>'$$xSchpostCouncil 22'!DN18/'$$xSchpostCouncil 22'!DN$123</f>
        <v>0</v>
      </c>
      <c r="DO18" s="6"/>
      <c r="DP18" s="6">
        <v>49400</v>
      </c>
      <c r="DU18" s="6">
        <f>VLOOKUP($A18,[3]Totals!$B$2:$K$119,10,FALSE)</f>
        <v>182082.38</v>
      </c>
      <c r="DV18" s="6">
        <f>VLOOKUP($A18,[3]Totals!$B$2:$K$119,9,FALSE)</f>
        <v>409900</v>
      </c>
    </row>
    <row r="19" spans="1:126" x14ac:dyDescent="0.2">
      <c r="A19" s="3">
        <v>347</v>
      </c>
      <c r="B19" s="2" t="s">
        <v>111</v>
      </c>
      <c r="C19" t="s">
        <v>19</v>
      </c>
      <c r="D19">
        <v>5</v>
      </c>
      <c r="E19" s="1">
        <v>359</v>
      </c>
      <c r="F19" s="4">
        <v>0.52400000000000002</v>
      </c>
      <c r="G19">
        <v>188</v>
      </c>
      <c r="H19" s="43">
        <f>'$$xSchpostCouncil 22'!H19/'$$xSchpostCouncil 22'!H$123</f>
        <v>1</v>
      </c>
      <c r="I19" s="43">
        <f>'$$xSchpostCouncil 22'!I19/'$$xSchpostCouncil 22'!I$123</f>
        <v>1</v>
      </c>
      <c r="J19" s="43">
        <f>'$$xSchpostCouncil 22'!J19/'$$xSchpostCouncil 22'!J$123</f>
        <v>0</v>
      </c>
      <c r="K19" s="43">
        <f>'$$xSchpostCouncil 22'!K19/'$$xSchpostCouncil 22'!K$123</f>
        <v>1</v>
      </c>
      <c r="L19" s="6">
        <v>6573</v>
      </c>
      <c r="M19" s="43">
        <f>'$$xSchpostCouncil 22'!M19/'$$xSchpostCouncil 22'!M$123</f>
        <v>1</v>
      </c>
      <c r="N19" s="43">
        <f>'$$xSchpostCouncil 22'!N19/'$$xSchpostCouncil 22'!N$123</f>
        <v>1</v>
      </c>
      <c r="O19" s="43">
        <f>'$$xSchpostCouncil 22'!O19/'$$xSchpostCouncil 22'!O$123</f>
        <v>3</v>
      </c>
      <c r="P19" s="43">
        <f>'$$xSchpostCouncil 22'!P19/'$$xSchpostCouncil 22'!P$123</f>
        <v>1</v>
      </c>
      <c r="Q19" s="43">
        <f>'$$xSchpostCouncil 22'!Q19/'$$xSchpostCouncil 22'!Q$123</f>
        <v>0</v>
      </c>
      <c r="R19" s="43">
        <f>'$$xSchpostCouncil 22'!R19/'$$xSchpostCouncil 22'!R$123</f>
        <v>0</v>
      </c>
      <c r="S19" s="43">
        <f>'$$xSchpostCouncil 22'!S19/'$$xSchpostCouncil 22'!S$123</f>
        <v>0</v>
      </c>
      <c r="T19" s="43">
        <f>'$$xSchpostCouncil 22'!T19/'$$xSchpostCouncil 22'!T$123</f>
        <v>0</v>
      </c>
      <c r="U19" s="6"/>
      <c r="V19" s="6"/>
      <c r="W19" s="6"/>
      <c r="X19" s="6"/>
      <c r="Y19" s="43">
        <f>'$$xSchpostCouncil 22'!Y19/'$$xSchpostCouncil 22'!Y$123</f>
        <v>0</v>
      </c>
      <c r="Z19" s="43">
        <f>'$$xSchpostCouncil 22'!Z19/'$$xSchpostCouncil 22'!Z$123</f>
        <v>0</v>
      </c>
      <c r="AA19" s="43">
        <f>'$$xSchpostCouncil 22'!AA19/'$$xSchpostCouncil 22'!AA$123</f>
        <v>0</v>
      </c>
      <c r="AB19" s="43">
        <f>'$$xSchpostCouncil 22'!AB19/'$$xSchpostCouncil 22'!AB$123</f>
        <v>0</v>
      </c>
      <c r="AC19" s="6"/>
      <c r="AD19" s="6">
        <v>142532</v>
      </c>
      <c r="AE19" s="43">
        <f>'$$xSchpostCouncil 22'!AE19/'$$xSchpostCouncil 22'!AE$123</f>
        <v>1</v>
      </c>
      <c r="AF19" s="43">
        <f>'$$xSchpostCouncil 22'!AF19/'$$xSchpostCouncil 22'!AF$123</f>
        <v>2</v>
      </c>
      <c r="AG19" s="43">
        <f>'$$xSchpostCouncil 22'!AG19/'$$xSchpostCouncil 22'!AG$123</f>
        <v>9</v>
      </c>
      <c r="AH19" s="43">
        <f>'$$xSchpostCouncil 22'!AH19/'$$xSchpostCouncil 22'!AH$123</f>
        <v>0</v>
      </c>
      <c r="AI19" s="43">
        <f>'$$xSchpostCouncil 22'!AI19/'$$xSchpostCouncil 22'!AI$123</f>
        <v>4</v>
      </c>
      <c r="AJ19" s="43"/>
      <c r="AK19" s="43">
        <f>'$$xSchpostCouncil 22'!AK19/'$$xSchpostCouncil 22'!AK$123</f>
        <v>0</v>
      </c>
      <c r="AL19" s="43">
        <f>'$$xSchpostCouncil 22'!AL19/'$$xSchpostCouncil 22'!AL$123</f>
        <v>0</v>
      </c>
      <c r="AM19" s="6"/>
      <c r="AN19" s="6"/>
      <c r="AO19" s="43">
        <f>'$$xSchpostCouncil 22'!AO19/'$$xSchpostCouncil 22'!AO$123</f>
        <v>2</v>
      </c>
      <c r="AP19" s="43">
        <f>'$$xSchpostCouncil 22'!AP19/'$$xSchpostCouncil 22'!AP$123</f>
        <v>0</v>
      </c>
      <c r="AQ19" s="43">
        <f>'$$xSchpostCouncil 22'!AQ19/'$$xSchpostCouncil 22'!AQ$123</f>
        <v>0</v>
      </c>
      <c r="AR19" s="6"/>
      <c r="AS19" s="6"/>
      <c r="AT19" s="6"/>
      <c r="AU19" s="6"/>
      <c r="AV19" s="6"/>
      <c r="AW19" s="6">
        <v>0</v>
      </c>
      <c r="AX19" s="6"/>
      <c r="AY19" s="6"/>
      <c r="AZ19" s="6">
        <v>162781.54999999999</v>
      </c>
      <c r="BA19" s="6"/>
      <c r="BB19" s="6"/>
      <c r="BC19" s="43">
        <f>'$$xSchpostCouncil 22'!BC19/'$$xSchpostCouncil 22'!BC$123</f>
        <v>0</v>
      </c>
      <c r="BD19" s="43">
        <f>'$$xSchpostCouncil 22'!BD19/'$$xSchpostCouncil 22'!BD$123</f>
        <v>0</v>
      </c>
      <c r="BE19" s="6"/>
      <c r="BF19" s="6"/>
      <c r="BG19" s="6"/>
      <c r="BH19" s="43">
        <f>'$$xSchpostCouncil 22'!BH19/'$$xSchpostCouncil 22'!BH$123</f>
        <v>0</v>
      </c>
      <c r="BI19" s="6"/>
      <c r="BJ19" s="43">
        <f>'$$xSchpostCouncil 22'!BJ19/'$$xSchpostCouncil 22'!BJ$123</f>
        <v>0</v>
      </c>
      <c r="BK19" s="6"/>
      <c r="BL19" s="43">
        <f>'$$xSchpostCouncil 22'!BL19/'$$xSchpostCouncil 22'!BL$123</f>
        <v>0</v>
      </c>
      <c r="BM19" s="6"/>
      <c r="BN19" s="43">
        <f>'$$xSchpostCouncil 22'!BN19/'$$xSchpostCouncil 22'!BN$123</f>
        <v>0</v>
      </c>
      <c r="BO19" s="43">
        <f>'$$xSchpostCouncil 22'!BO19/'$$xSchpostCouncil 22'!BO$123</f>
        <v>0</v>
      </c>
      <c r="BP19" s="6"/>
      <c r="BQ19" s="6"/>
      <c r="BR19" s="6"/>
      <c r="BS19" s="6">
        <v>200000</v>
      </c>
      <c r="BT19" s="6"/>
      <c r="BU19" s="43">
        <f>'$$xSchpostCouncil 22'!BU19/'$$xSchpostCouncil 22'!BU$123</f>
        <v>0</v>
      </c>
      <c r="BV19" s="43">
        <f>'$$xSchpostCouncil 22'!BV19/'$$xSchpostCouncil 22'!BV$123</f>
        <v>0</v>
      </c>
      <c r="BW19" s="43">
        <f>'$$xSchpostCouncil 22'!BW19/'$$xSchpostCouncil 22'!BW$123</f>
        <v>0</v>
      </c>
      <c r="BX19" s="6">
        <v>475926</v>
      </c>
      <c r="BY19" s="6"/>
      <c r="BZ19" s="6"/>
      <c r="CA19" s="6"/>
      <c r="CB19" s="6"/>
      <c r="CC19" s="6">
        <v>57932</v>
      </c>
      <c r="CD19" s="6"/>
      <c r="CE19" s="6"/>
      <c r="CF19" s="6">
        <v>0</v>
      </c>
      <c r="CI19" s="43">
        <f>'$$xSchpostCouncil 22'!CI19/'$$xSchpostCouncil 22'!CI$123</f>
        <v>1</v>
      </c>
      <c r="CJ19" s="43">
        <f>'$$xSchpostCouncil 22'!CJ19/'$$xSchpostCouncil 22'!CJ$123</f>
        <v>1.2000012777185058</v>
      </c>
      <c r="CK19" s="43">
        <f>'$$xSchpostCouncil 22'!CK19/'$$xSchpostCouncil 22'!CK$123</f>
        <v>1</v>
      </c>
      <c r="CL19" s="43">
        <f>'$$xSchpostCouncil 22'!CL19/'$$xSchpostCouncil 22'!CL$123</f>
        <v>0</v>
      </c>
      <c r="CM19" s="43">
        <f>'$$xSchpostCouncil 22'!CM19/'$$xSchpostCouncil 22'!CM$123</f>
        <v>0</v>
      </c>
      <c r="CN19" s="43">
        <f>'$$xSchpostCouncil 22'!CN19/'$$xSchpostCouncil 22'!CN$123</f>
        <v>0</v>
      </c>
      <c r="CO19" s="43">
        <f>'$$xSchpostCouncil 22'!CO19/'$$xSchpostCouncil 22'!CO$123</f>
        <v>0</v>
      </c>
      <c r="CP19" s="43">
        <f>'$$xSchpostCouncil 22'!CP19/'$$xSchpostCouncil 22'!CP$123</f>
        <v>0</v>
      </c>
      <c r="CQ19" s="43">
        <f>'$$xSchpostCouncil 22'!CQ19/'$$xSchpostCouncil 22'!CQ$123</f>
        <v>16.200001776688076</v>
      </c>
      <c r="CR19" s="43">
        <f>'$$xSchpostCouncil 22'!CR19/'$$xSchpostCouncil 22'!CR$123</f>
        <v>3</v>
      </c>
      <c r="CS19" s="6">
        <v>23000</v>
      </c>
      <c r="CT19" s="6"/>
      <c r="CU19" s="6">
        <v>100000</v>
      </c>
      <c r="CV19" s="43">
        <f>'$$xSchpostCouncil 22'!CV19/'$$xSchpostCouncil 22'!CV$123</f>
        <v>0</v>
      </c>
      <c r="CW19" s="43">
        <f>'$$xSchpostCouncil 22'!CW19/'$$xSchpostCouncil 22'!CW$123</f>
        <v>1</v>
      </c>
      <c r="CX19" s="6">
        <v>0</v>
      </c>
      <c r="CY19" s="6"/>
      <c r="CZ19" s="6"/>
      <c r="DB19" s="43">
        <f>'$$xSchpostCouncil 22'!DB19/'$$xSchpostCouncil 22'!DB$123</f>
        <v>0</v>
      </c>
      <c r="DC19" s="43">
        <f>'$$xSchpostCouncil 22'!DC19/'$$xSchpostCouncil 22'!DC$123</f>
        <v>0</v>
      </c>
      <c r="DF19" s="43">
        <f>'$$xSchpostCouncil 22'!DF19/'$$xSchpostCouncil 22'!DF$123</f>
        <v>0</v>
      </c>
      <c r="DG19" s="43">
        <f>'$$xSchpostCouncil 22'!DG19/'$$xSchpostCouncil 22'!DG$123</f>
        <v>0</v>
      </c>
      <c r="DH19" s="43">
        <f>'$$xSchpostCouncil 22'!DH19/'$$xSchpostCouncil 22'!DH$123</f>
        <v>0</v>
      </c>
      <c r="DI19" s="43">
        <f>'$$xSchpostCouncil 22'!DI19/'$$xSchpostCouncil 22'!DI$123</f>
        <v>0</v>
      </c>
      <c r="DJ19" s="43">
        <f>'$$xSchpostCouncil 22'!DJ19/'$$xSchpostCouncil 22'!DJ$123</f>
        <v>0</v>
      </c>
      <c r="DK19" s="43">
        <f>'$$xSchpostCouncil 22'!DK19/'$$xSchpostCouncil 22'!DK$123</f>
        <v>0</v>
      </c>
      <c r="DL19" s="6">
        <v>3763</v>
      </c>
      <c r="DM19" s="6"/>
      <c r="DN19" s="43">
        <f>'$$xSchpostCouncil 22'!DN19/'$$xSchpostCouncil 22'!DN$123</f>
        <v>0</v>
      </c>
      <c r="DO19" s="6"/>
      <c r="DP19" s="6">
        <v>39975</v>
      </c>
      <c r="DU19" s="6">
        <f>VLOOKUP($A19,[3]Totals!$B$2:$K$119,10,FALSE)</f>
        <v>118097.72</v>
      </c>
      <c r="DV19" s="6">
        <f>VLOOKUP($A19,[3]Totals!$B$2:$K$119,9,FALSE)</f>
        <v>128046</v>
      </c>
    </row>
    <row r="20" spans="1:126" x14ac:dyDescent="0.2">
      <c r="A20" s="3">
        <v>404</v>
      </c>
      <c r="B20" s="2" t="s">
        <v>110</v>
      </c>
      <c r="C20" t="s">
        <v>4</v>
      </c>
      <c r="D20">
        <v>5</v>
      </c>
      <c r="E20" s="1">
        <v>436</v>
      </c>
      <c r="F20" s="4">
        <v>0.626</v>
      </c>
      <c r="G20">
        <v>273</v>
      </c>
      <c r="H20" s="43">
        <f>'$$xSchpostCouncil 22'!H20/'$$xSchpostCouncil 22'!H$123</f>
        <v>1</v>
      </c>
      <c r="I20" s="43">
        <f>'$$xSchpostCouncil 22'!I20/'$$xSchpostCouncil 22'!I$123</f>
        <v>1</v>
      </c>
      <c r="J20" s="43">
        <f>'$$xSchpostCouncil 22'!J20/'$$xSchpostCouncil 22'!J$123</f>
        <v>0</v>
      </c>
      <c r="K20" s="43">
        <f>'$$xSchpostCouncil 22'!K20/'$$xSchpostCouncil 22'!K$123</f>
        <v>1</v>
      </c>
      <c r="L20" s="6">
        <v>10512</v>
      </c>
      <c r="M20" s="43">
        <f>'$$xSchpostCouncil 22'!M20/'$$xSchpostCouncil 22'!M$123</f>
        <v>1</v>
      </c>
      <c r="N20" s="43">
        <f>'$$xSchpostCouncil 22'!N20/'$$xSchpostCouncil 22'!N$123</f>
        <v>1</v>
      </c>
      <c r="O20" s="43">
        <f>'$$xSchpostCouncil 22'!O20/'$$xSchpostCouncil 22'!O$123</f>
        <v>7</v>
      </c>
      <c r="P20" s="43">
        <f>'$$xSchpostCouncil 22'!P20/'$$xSchpostCouncil 22'!P$123</f>
        <v>1</v>
      </c>
      <c r="Q20" s="43">
        <f>'$$xSchpostCouncil 22'!Q20/'$$xSchpostCouncil 22'!Q$123</f>
        <v>0</v>
      </c>
      <c r="R20" s="43">
        <f>'$$xSchpostCouncil 22'!R20/'$$xSchpostCouncil 22'!R$123</f>
        <v>2</v>
      </c>
      <c r="S20" s="43">
        <f>'$$xSchpostCouncil 22'!S20/'$$xSchpostCouncil 22'!S$123</f>
        <v>2</v>
      </c>
      <c r="T20" s="43">
        <f>'$$xSchpostCouncil 22'!T20/'$$xSchpostCouncil 22'!T$123</f>
        <v>4</v>
      </c>
      <c r="U20" s="6"/>
      <c r="V20" s="6"/>
      <c r="W20" s="6"/>
      <c r="X20" s="6"/>
      <c r="Y20" s="43">
        <f>'$$xSchpostCouncil 22'!Y20/'$$xSchpostCouncil 22'!Y$123</f>
        <v>0</v>
      </c>
      <c r="Z20" s="43">
        <f>'$$xSchpostCouncil 22'!Z20/'$$xSchpostCouncil 22'!Z$123</f>
        <v>0</v>
      </c>
      <c r="AA20" s="43">
        <f>'$$xSchpostCouncil 22'!AA20/'$$xSchpostCouncil 22'!AA$123</f>
        <v>0</v>
      </c>
      <c r="AB20" s="43">
        <f>'$$xSchpostCouncil 22'!AB20/'$$xSchpostCouncil 22'!AB$123</f>
        <v>0</v>
      </c>
      <c r="AC20" s="6"/>
      <c r="AD20" s="6">
        <v>179219</v>
      </c>
      <c r="AE20" s="43">
        <f>'$$xSchpostCouncil 22'!AE20/'$$xSchpostCouncil 22'!AE$123</f>
        <v>1</v>
      </c>
      <c r="AF20" s="43">
        <f>'$$xSchpostCouncil 22'!AF20/'$$xSchpostCouncil 22'!AF$123</f>
        <v>2</v>
      </c>
      <c r="AG20" s="43">
        <f>'$$xSchpostCouncil 22'!AG20/'$$xSchpostCouncil 22'!AG$123</f>
        <v>10</v>
      </c>
      <c r="AH20" s="43">
        <f>'$$xSchpostCouncil 22'!AH20/'$$xSchpostCouncil 22'!AH$123</f>
        <v>0</v>
      </c>
      <c r="AI20" s="43">
        <f>'$$xSchpostCouncil 22'!AI20/'$$xSchpostCouncil 22'!AI$123</f>
        <v>6</v>
      </c>
      <c r="AJ20" s="43"/>
      <c r="AK20" s="43">
        <f>'$$xSchpostCouncil 22'!AK20/'$$xSchpostCouncil 22'!AK$123</f>
        <v>0</v>
      </c>
      <c r="AL20" s="43">
        <f>'$$xSchpostCouncil 22'!AL20/'$$xSchpostCouncil 22'!AL$123</f>
        <v>0</v>
      </c>
      <c r="AM20" s="6"/>
      <c r="AN20" s="6"/>
      <c r="AO20" s="43">
        <f>'$$xSchpostCouncil 22'!AO20/'$$xSchpostCouncil 22'!AO$123</f>
        <v>4</v>
      </c>
      <c r="AP20" s="43">
        <f>'$$xSchpostCouncil 22'!AP20/'$$xSchpostCouncil 22'!AP$123</f>
        <v>0</v>
      </c>
      <c r="AQ20" s="43">
        <f>'$$xSchpostCouncil 22'!AQ20/'$$xSchpostCouncil 22'!AQ$123</f>
        <v>0</v>
      </c>
      <c r="AR20" s="6"/>
      <c r="AS20" s="6">
        <f>20400-13600</f>
        <v>6800</v>
      </c>
      <c r="AT20" s="6">
        <f>20400-13600</f>
        <v>6800</v>
      </c>
      <c r="AU20" s="6">
        <v>10200</v>
      </c>
      <c r="AV20" s="6"/>
      <c r="AW20" s="6">
        <v>27200</v>
      </c>
      <c r="AX20" s="6"/>
      <c r="AY20" s="6"/>
      <c r="AZ20" s="6">
        <v>197695.79</v>
      </c>
      <c r="BA20" s="6"/>
      <c r="BB20" s="6"/>
      <c r="BC20" s="43">
        <f>'$$xSchpostCouncil 22'!BC20/'$$xSchpostCouncil 22'!BC$123</f>
        <v>0</v>
      </c>
      <c r="BD20" s="43">
        <f>'$$xSchpostCouncil 22'!BD20/'$$xSchpostCouncil 22'!BD$123</f>
        <v>0</v>
      </c>
      <c r="BE20" s="6"/>
      <c r="BF20" s="6"/>
      <c r="BG20" s="6"/>
      <c r="BH20" s="43">
        <f>'$$xSchpostCouncil 22'!BH20/'$$xSchpostCouncil 22'!BH$123</f>
        <v>0</v>
      </c>
      <c r="BI20" s="6"/>
      <c r="BJ20" s="43">
        <f>'$$xSchpostCouncil 22'!BJ20/'$$xSchpostCouncil 22'!BJ$123</f>
        <v>0</v>
      </c>
      <c r="BK20" s="6"/>
      <c r="BL20" s="43">
        <f>'$$xSchpostCouncil 22'!BL20/'$$xSchpostCouncil 22'!BL$123</f>
        <v>0</v>
      </c>
      <c r="BM20" s="6"/>
      <c r="BN20" s="43">
        <f>'$$xSchpostCouncil 22'!BN20/'$$xSchpostCouncil 22'!BN$123</f>
        <v>0</v>
      </c>
      <c r="BO20" s="43">
        <f>'$$xSchpostCouncil 22'!BO20/'$$xSchpostCouncil 22'!BO$123</f>
        <v>0</v>
      </c>
      <c r="BP20" s="6"/>
      <c r="BQ20" s="6"/>
      <c r="BR20" s="6"/>
      <c r="BS20" s="6"/>
      <c r="BT20" s="6"/>
      <c r="BU20" s="43">
        <f>'$$xSchpostCouncil 22'!BU20/'$$xSchpostCouncil 22'!BU$123</f>
        <v>0</v>
      </c>
      <c r="BV20" s="43">
        <f>'$$xSchpostCouncil 22'!BV20/'$$xSchpostCouncil 22'!BV$123</f>
        <v>0</v>
      </c>
      <c r="BW20" s="43">
        <f>'$$xSchpostCouncil 22'!BW20/'$$xSchpostCouncil 22'!BW$123</f>
        <v>0</v>
      </c>
      <c r="BX20" s="6">
        <v>691105</v>
      </c>
      <c r="BY20" s="6"/>
      <c r="BZ20" s="6"/>
      <c r="CA20" s="6"/>
      <c r="CB20" s="6"/>
      <c r="CC20" s="6"/>
      <c r="CD20" s="6"/>
      <c r="CE20" s="6"/>
      <c r="CF20" s="6">
        <v>112569</v>
      </c>
      <c r="CI20" s="43">
        <f>'$$xSchpostCouncil 22'!CI20/'$$xSchpostCouncil 22'!CI$123</f>
        <v>1</v>
      </c>
      <c r="CJ20" s="43">
        <f>'$$xSchpostCouncil 22'!CJ20/'$$xSchpostCouncil 22'!CJ$123</f>
        <v>1.2000012777185058</v>
      </c>
      <c r="CK20" s="43">
        <f>'$$xSchpostCouncil 22'!CK20/'$$xSchpostCouncil 22'!CK$123</f>
        <v>1</v>
      </c>
      <c r="CL20" s="43">
        <f>'$$xSchpostCouncil 22'!CL20/'$$xSchpostCouncil 22'!CL$123</f>
        <v>1.1000019747625347</v>
      </c>
      <c r="CM20" s="43">
        <f>'$$xSchpostCouncil 22'!CM20/'$$xSchpostCouncil 22'!CM$123</f>
        <v>0</v>
      </c>
      <c r="CN20" s="43">
        <f>'$$xSchpostCouncil 22'!CN20/'$$xSchpostCouncil 22'!CN$123</f>
        <v>0</v>
      </c>
      <c r="CO20" s="43">
        <f>'$$xSchpostCouncil 22'!CO20/'$$xSchpostCouncil 22'!CO$123</f>
        <v>4.500004441720189</v>
      </c>
      <c r="CP20" s="43">
        <f>'$$xSchpostCouncil 22'!CP20/'$$xSchpostCouncil 22'!CP$123</f>
        <v>2</v>
      </c>
      <c r="CQ20" s="43">
        <f>'$$xSchpostCouncil 22'!CQ20/'$$xSchpostCouncil 22'!CQ$123</f>
        <v>17.899999111655962</v>
      </c>
      <c r="CR20" s="43">
        <f>'$$xSchpostCouncil 22'!CR20/'$$xSchpostCouncil 22'!CR$123</f>
        <v>2</v>
      </c>
      <c r="CS20" s="6">
        <v>23000</v>
      </c>
      <c r="CT20" s="6"/>
      <c r="CU20" s="6">
        <v>100000</v>
      </c>
      <c r="CV20" s="43">
        <f>'$$xSchpostCouncil 22'!CV20/'$$xSchpostCouncil 22'!CV$123</f>
        <v>0</v>
      </c>
      <c r="CW20" s="43">
        <f>'$$xSchpostCouncil 22'!CW20/'$$xSchpostCouncil 22'!CW$123</f>
        <v>0</v>
      </c>
      <c r="CX20" s="6">
        <v>0</v>
      </c>
      <c r="CY20" s="6"/>
      <c r="CZ20" s="6"/>
      <c r="DB20" s="43">
        <f>'$$xSchpostCouncil 22'!DB20/'$$xSchpostCouncil 22'!DB$123</f>
        <v>0</v>
      </c>
      <c r="DC20" s="43">
        <f>'$$xSchpostCouncil 22'!DC20/'$$xSchpostCouncil 22'!DC$123</f>
        <v>0</v>
      </c>
      <c r="DF20" s="43">
        <f>'$$xSchpostCouncil 22'!DF20/'$$xSchpostCouncil 22'!DF$123</f>
        <v>0</v>
      </c>
      <c r="DG20" s="43">
        <f>'$$xSchpostCouncil 22'!DG20/'$$xSchpostCouncil 22'!DG$123</f>
        <v>0.49999555827981063</v>
      </c>
      <c r="DH20" s="43">
        <f>'$$xSchpostCouncil 22'!DH20/'$$xSchpostCouncil 22'!DH$123</f>
        <v>0</v>
      </c>
      <c r="DI20" s="43">
        <f>'$$xSchpostCouncil 22'!DI20/'$$xSchpostCouncil 22'!DI$123</f>
        <v>0</v>
      </c>
      <c r="DJ20" s="43">
        <f>'$$xSchpostCouncil 22'!DJ20/'$$xSchpostCouncil 22'!DJ$123</f>
        <v>0</v>
      </c>
      <c r="DK20" s="43">
        <f>'$$xSchpostCouncil 22'!DK20/'$$xSchpostCouncil 22'!DK$123</f>
        <v>0</v>
      </c>
      <c r="DL20" s="6">
        <v>5469</v>
      </c>
      <c r="DM20" s="6"/>
      <c r="DN20" s="43">
        <f>'$$xSchpostCouncil 22'!DN20/'$$xSchpostCouncil 22'!DN$123</f>
        <v>0</v>
      </c>
      <c r="DO20" s="6"/>
      <c r="DP20" s="6">
        <v>38625</v>
      </c>
      <c r="DU20" s="6">
        <f>VLOOKUP($A20,[3]Totals!$B$2:$K$119,10,FALSE)</f>
        <v>163091.60999999999</v>
      </c>
      <c r="DV20" s="6">
        <f>VLOOKUP($A20,[3]Totals!$B$2:$K$119,9,FALSE)</f>
        <v>71241</v>
      </c>
    </row>
    <row r="21" spans="1:126" x14ac:dyDescent="0.2">
      <c r="A21" s="3">
        <v>296</v>
      </c>
      <c r="B21" s="2" t="s">
        <v>109</v>
      </c>
      <c r="C21" t="s">
        <v>7</v>
      </c>
      <c r="D21">
        <v>1</v>
      </c>
      <c r="E21" s="1">
        <v>485</v>
      </c>
      <c r="F21" s="4">
        <v>0.373</v>
      </c>
      <c r="G21">
        <v>181</v>
      </c>
      <c r="H21" s="43">
        <f>'$$xSchpostCouncil 22'!H21/'$$xSchpostCouncil 22'!H$123</f>
        <v>1</v>
      </c>
      <c r="I21" s="43">
        <f>'$$xSchpostCouncil 22'!I21/'$$xSchpostCouncil 22'!I$123</f>
        <v>0</v>
      </c>
      <c r="J21" s="43">
        <f>'$$xSchpostCouncil 22'!J21/'$$xSchpostCouncil 22'!J$123</f>
        <v>0</v>
      </c>
      <c r="K21" s="43">
        <f>'$$xSchpostCouncil 22'!K21/'$$xSchpostCouncil 22'!K$123</f>
        <v>1</v>
      </c>
      <c r="L21" s="6">
        <v>7964</v>
      </c>
      <c r="M21" s="43">
        <f>'$$xSchpostCouncil 22'!M21/'$$xSchpostCouncil 22'!M$123</f>
        <v>1</v>
      </c>
      <c r="N21" s="43">
        <f>'$$xSchpostCouncil 22'!N21/'$$xSchpostCouncil 22'!N$123</f>
        <v>1</v>
      </c>
      <c r="O21" s="43">
        <f>'$$xSchpostCouncil 22'!O21/'$$xSchpostCouncil 22'!O$123</f>
        <v>3</v>
      </c>
      <c r="P21" s="43">
        <f>'$$xSchpostCouncil 22'!P21/'$$xSchpostCouncil 22'!P$123</f>
        <v>1</v>
      </c>
      <c r="Q21" s="43">
        <f>'$$xSchpostCouncil 22'!Q21/'$$xSchpostCouncil 22'!Q$123</f>
        <v>0</v>
      </c>
      <c r="R21" s="43">
        <f>'$$xSchpostCouncil 22'!R21/'$$xSchpostCouncil 22'!R$123</f>
        <v>6</v>
      </c>
      <c r="S21" s="43">
        <f>'$$xSchpostCouncil 22'!S21/'$$xSchpostCouncil 22'!S$123</f>
        <v>0</v>
      </c>
      <c r="T21" s="43">
        <f>'$$xSchpostCouncil 22'!T21/'$$xSchpostCouncil 22'!T$123</f>
        <v>6</v>
      </c>
      <c r="U21" s="6"/>
      <c r="V21" s="6"/>
      <c r="W21" s="6"/>
      <c r="X21" s="6"/>
      <c r="Y21" s="43">
        <f>'$$xSchpostCouncil 22'!Y21/'$$xSchpostCouncil 22'!Y$123</f>
        <v>0</v>
      </c>
      <c r="Z21" s="43">
        <f>'$$xSchpostCouncil 22'!Z21/'$$xSchpostCouncil 22'!Z$123</f>
        <v>0</v>
      </c>
      <c r="AA21" s="43">
        <f>'$$xSchpostCouncil 22'!AA21/'$$xSchpostCouncil 22'!AA$123</f>
        <v>0</v>
      </c>
      <c r="AB21" s="43">
        <f>'$$xSchpostCouncil 22'!AB21/'$$xSchpostCouncil 22'!AB$123</f>
        <v>0</v>
      </c>
      <c r="AC21" s="6"/>
      <c r="AD21" s="6">
        <v>185396</v>
      </c>
      <c r="AE21" s="43">
        <f>'$$xSchpostCouncil 22'!AE21/'$$xSchpostCouncil 22'!AE$123</f>
        <v>1</v>
      </c>
      <c r="AF21" s="43">
        <f>'$$xSchpostCouncil 22'!AF21/'$$xSchpostCouncil 22'!AF$123</f>
        <v>2</v>
      </c>
      <c r="AG21" s="43">
        <f>'$$xSchpostCouncil 22'!AG21/'$$xSchpostCouncil 22'!AG$123</f>
        <v>4</v>
      </c>
      <c r="AH21" s="43">
        <f>'$$xSchpostCouncil 22'!AH21/'$$xSchpostCouncil 22'!AH$123</f>
        <v>0</v>
      </c>
      <c r="AI21" s="43">
        <f>'$$xSchpostCouncil 22'!AI21/'$$xSchpostCouncil 22'!AI$123</f>
        <v>0</v>
      </c>
      <c r="AJ21" s="43"/>
      <c r="AK21" s="43">
        <f>'$$xSchpostCouncil 22'!AK21/'$$xSchpostCouncil 22'!AK$123</f>
        <v>0</v>
      </c>
      <c r="AL21" s="43">
        <f>'$$xSchpostCouncil 22'!AL21/'$$xSchpostCouncil 22'!AL$123</f>
        <v>0</v>
      </c>
      <c r="AM21" s="6"/>
      <c r="AN21" s="6"/>
      <c r="AO21" s="43">
        <f>'$$xSchpostCouncil 22'!AO21/'$$xSchpostCouncil 22'!AO$123</f>
        <v>13</v>
      </c>
      <c r="AP21" s="43">
        <f>'$$xSchpostCouncil 22'!AP21/'$$xSchpostCouncil 22'!AP$123</f>
        <v>0</v>
      </c>
      <c r="AQ21" s="43">
        <f>'$$xSchpostCouncil 22'!AQ21/'$$xSchpostCouncil 22'!AQ$123</f>
        <v>0</v>
      </c>
      <c r="AR21" s="6"/>
      <c r="AS21" s="6"/>
      <c r="AT21" s="6"/>
      <c r="AU21" s="6"/>
      <c r="AV21" s="6"/>
      <c r="AW21" s="6">
        <v>0</v>
      </c>
      <c r="AX21" s="6"/>
      <c r="AY21" s="6"/>
      <c r="AZ21" s="6">
        <v>219914.80000000002</v>
      </c>
      <c r="BA21" s="6"/>
      <c r="BB21" s="6"/>
      <c r="BC21" s="43">
        <f>'$$xSchpostCouncil 22'!BC21/'$$xSchpostCouncil 22'!BC$123</f>
        <v>0</v>
      </c>
      <c r="BD21" s="43">
        <f>'$$xSchpostCouncil 22'!BD21/'$$xSchpostCouncil 22'!BD$123</f>
        <v>0</v>
      </c>
      <c r="BE21" s="6"/>
      <c r="BF21" s="6"/>
      <c r="BG21" s="6"/>
      <c r="BH21" s="43">
        <f>'$$xSchpostCouncil 22'!BH21/'$$xSchpostCouncil 22'!BH$123</f>
        <v>0</v>
      </c>
      <c r="BI21" s="6"/>
      <c r="BJ21" s="43">
        <f>'$$xSchpostCouncil 22'!BJ21/'$$xSchpostCouncil 22'!BJ$123</f>
        <v>0</v>
      </c>
      <c r="BK21" s="6"/>
      <c r="BL21" s="43">
        <f>'$$xSchpostCouncil 22'!BL21/'$$xSchpostCouncil 22'!BL$123</f>
        <v>0</v>
      </c>
      <c r="BM21" s="6"/>
      <c r="BN21" s="43">
        <f>'$$xSchpostCouncil 22'!BN21/'$$xSchpostCouncil 22'!BN$123</f>
        <v>0</v>
      </c>
      <c r="BO21" s="43">
        <f>'$$xSchpostCouncil 22'!BO21/'$$xSchpostCouncil 22'!BO$123</f>
        <v>0</v>
      </c>
      <c r="BP21" s="6"/>
      <c r="BQ21" s="6"/>
      <c r="BR21" s="6"/>
      <c r="BS21" s="6"/>
      <c r="BT21" s="6"/>
      <c r="BU21" s="43">
        <f>'$$xSchpostCouncil 22'!BU21/'$$xSchpostCouncil 22'!BU$123</f>
        <v>0</v>
      </c>
      <c r="BV21" s="43">
        <f>'$$xSchpostCouncil 22'!BV21/'$$xSchpostCouncil 22'!BV$123</f>
        <v>0</v>
      </c>
      <c r="BW21" s="43">
        <f>'$$xSchpostCouncil 22'!BW21/'$$xSchpostCouncil 22'!BW$123</f>
        <v>0</v>
      </c>
      <c r="BX21" s="6">
        <v>458205</v>
      </c>
      <c r="BY21" s="6"/>
      <c r="BZ21" s="6"/>
      <c r="CA21" s="6"/>
      <c r="CB21" s="6"/>
      <c r="CC21" s="6"/>
      <c r="CD21" s="6"/>
      <c r="CE21" s="6">
        <v>112569</v>
      </c>
      <c r="CF21" s="6">
        <v>112569</v>
      </c>
      <c r="CI21" s="43">
        <f>'$$xSchpostCouncil 22'!CI21/'$$xSchpostCouncil 22'!CI$123</f>
        <v>1</v>
      </c>
      <c r="CJ21" s="43">
        <f>'$$xSchpostCouncil 22'!CJ21/'$$xSchpostCouncil 22'!CJ$123</f>
        <v>1.2000012777185058</v>
      </c>
      <c r="CK21" s="43">
        <f>'$$xSchpostCouncil 22'!CK21/'$$xSchpostCouncil 22'!CK$123</f>
        <v>1</v>
      </c>
      <c r="CL21" s="43">
        <f>'$$xSchpostCouncil 22'!CL21/'$$xSchpostCouncil 22'!CL$123</f>
        <v>1.2000039495250696</v>
      </c>
      <c r="CM21" s="43">
        <f>'$$xSchpostCouncil 22'!CM21/'$$xSchpostCouncil 22'!CM$123</f>
        <v>0</v>
      </c>
      <c r="CN21" s="43">
        <f>'$$xSchpostCouncil 22'!CN21/'$$xSchpostCouncil 22'!CN$123</f>
        <v>0</v>
      </c>
      <c r="CO21" s="43">
        <f>'$$xSchpostCouncil 22'!CO21/'$$xSchpostCouncil 22'!CO$123</f>
        <v>4.500004441720189</v>
      </c>
      <c r="CP21" s="43">
        <f>'$$xSchpostCouncil 22'!CP21/'$$xSchpostCouncil 22'!CP$123</f>
        <v>3</v>
      </c>
      <c r="CQ21" s="43">
        <f>'$$xSchpostCouncil 22'!CQ21/'$$xSchpostCouncil 22'!CQ$123</f>
        <v>18</v>
      </c>
      <c r="CR21" s="43">
        <f>'$$xSchpostCouncil 22'!CR21/'$$xSchpostCouncil 22'!CR$123</f>
        <v>0</v>
      </c>
      <c r="CS21" s="6"/>
      <c r="CT21" s="6"/>
      <c r="CU21" s="6"/>
      <c r="CV21" s="43">
        <f>'$$xSchpostCouncil 22'!CV21/'$$xSchpostCouncil 22'!CV$123</f>
        <v>0</v>
      </c>
      <c r="CW21" s="43">
        <f>'$$xSchpostCouncil 22'!CW21/'$$xSchpostCouncil 22'!CW$123</f>
        <v>0</v>
      </c>
      <c r="CX21" s="6">
        <v>0</v>
      </c>
      <c r="CY21" s="6"/>
      <c r="CZ21" s="6"/>
      <c r="DB21" s="43">
        <f>'$$xSchpostCouncil 22'!DB21/'$$xSchpostCouncil 22'!DB$123</f>
        <v>3</v>
      </c>
      <c r="DC21" s="43">
        <f>'$$xSchpostCouncil 22'!DC21/'$$xSchpostCouncil 22'!DC$123</f>
        <v>0</v>
      </c>
      <c r="DF21" s="43">
        <f>'$$xSchpostCouncil 22'!DF21/'$$xSchpostCouncil 22'!DF$123</f>
        <v>0</v>
      </c>
      <c r="DG21" s="43">
        <f>'$$xSchpostCouncil 22'!DG21/'$$xSchpostCouncil 22'!DG$123</f>
        <v>0</v>
      </c>
      <c r="DH21" s="43">
        <f>'$$xSchpostCouncil 22'!DH21/'$$xSchpostCouncil 22'!DH$123</f>
        <v>0</v>
      </c>
      <c r="DI21" s="43">
        <f>'$$xSchpostCouncil 22'!DI21/'$$xSchpostCouncil 22'!DI$123</f>
        <v>0</v>
      </c>
      <c r="DJ21" s="43">
        <f>'$$xSchpostCouncil 22'!DJ21/'$$xSchpostCouncil 22'!DJ$123</f>
        <v>0</v>
      </c>
      <c r="DK21" s="43">
        <f>'$$xSchpostCouncil 22'!DK21/'$$xSchpostCouncil 22'!DK$123</f>
        <v>0</v>
      </c>
      <c r="DL21" s="6">
        <v>3625</v>
      </c>
      <c r="DM21" s="6"/>
      <c r="DN21" s="43">
        <f>'$$xSchpostCouncil 22'!DN21/'$$xSchpostCouncil 22'!DN$123</f>
        <v>0</v>
      </c>
      <c r="DO21" s="6"/>
      <c r="DP21" s="6">
        <v>14025</v>
      </c>
      <c r="DU21" s="6">
        <f>VLOOKUP($A21,[3]Totals!$B$2:$K$119,10,FALSE)</f>
        <v>172190.62</v>
      </c>
      <c r="DV21" s="6">
        <f>VLOOKUP($A21,[3]Totals!$B$2:$K$119,9,FALSE)</f>
        <v>37488</v>
      </c>
    </row>
    <row r="22" spans="1:126" x14ac:dyDescent="0.2">
      <c r="A22" s="3">
        <v>219</v>
      </c>
      <c r="B22" s="2" t="s">
        <v>108</v>
      </c>
      <c r="C22" t="s">
        <v>7</v>
      </c>
      <c r="D22">
        <v>5</v>
      </c>
      <c r="E22" s="1">
        <v>231</v>
      </c>
      <c r="F22" s="4">
        <v>0.44600000000000001</v>
      </c>
      <c r="G22">
        <v>103</v>
      </c>
      <c r="H22" s="43">
        <f>'$$xSchpostCouncil 22'!H22/'$$xSchpostCouncil 22'!H$123</f>
        <v>1</v>
      </c>
      <c r="I22" s="43">
        <f>'$$xSchpostCouncil 22'!I22/'$$xSchpostCouncil 22'!I$123</f>
        <v>0</v>
      </c>
      <c r="J22" s="43">
        <f>'$$xSchpostCouncil 22'!J22/'$$xSchpostCouncil 22'!J$123</f>
        <v>0</v>
      </c>
      <c r="K22" s="43">
        <f>'$$xSchpostCouncil 22'!K22/'$$xSchpostCouncil 22'!K$123</f>
        <v>1</v>
      </c>
      <c r="L22" s="6">
        <v>3779</v>
      </c>
      <c r="M22" s="43">
        <f>'$$xSchpostCouncil 22'!M22/'$$xSchpostCouncil 22'!M$123</f>
        <v>1</v>
      </c>
      <c r="N22" s="43">
        <f>'$$xSchpostCouncil 22'!N22/'$$xSchpostCouncil 22'!N$123</f>
        <v>1</v>
      </c>
      <c r="O22" s="43">
        <f>'$$xSchpostCouncil 22'!O22/'$$xSchpostCouncil 22'!O$123</f>
        <v>1</v>
      </c>
      <c r="P22" s="43">
        <f>'$$xSchpostCouncil 22'!P22/'$$xSchpostCouncil 22'!P$123</f>
        <v>1.0000006218408266</v>
      </c>
      <c r="Q22" s="43">
        <f>'$$xSchpostCouncil 22'!Q22/'$$xSchpostCouncil 22'!Q$123</f>
        <v>2</v>
      </c>
      <c r="R22" s="43">
        <f>'$$xSchpostCouncil 22'!R22/'$$xSchpostCouncil 22'!R$123</f>
        <v>0</v>
      </c>
      <c r="S22" s="43">
        <f>'$$xSchpostCouncil 22'!S22/'$$xSchpostCouncil 22'!S$123</f>
        <v>3</v>
      </c>
      <c r="T22" s="43">
        <f>'$$xSchpostCouncil 22'!T22/'$$xSchpostCouncil 22'!T$123</f>
        <v>5</v>
      </c>
      <c r="U22" s="6"/>
      <c r="V22" s="6"/>
      <c r="W22" s="6"/>
      <c r="X22" s="6"/>
      <c r="Y22" s="43">
        <f>'$$xSchpostCouncil 22'!Y22/'$$xSchpostCouncil 22'!Y$123</f>
        <v>0</v>
      </c>
      <c r="Z22" s="43">
        <f>'$$xSchpostCouncil 22'!Z22/'$$xSchpostCouncil 22'!Z$123</f>
        <v>0</v>
      </c>
      <c r="AA22" s="43">
        <f>'$$xSchpostCouncil 22'!AA22/'$$xSchpostCouncil 22'!AA$123</f>
        <v>0</v>
      </c>
      <c r="AB22" s="43">
        <f>'$$xSchpostCouncil 22'!AB22/'$$xSchpostCouncil 22'!AB$123</f>
        <v>0</v>
      </c>
      <c r="AC22" s="6"/>
      <c r="AD22" s="6">
        <v>96571</v>
      </c>
      <c r="AE22" s="43">
        <f>'$$xSchpostCouncil 22'!AE22/'$$xSchpostCouncil 22'!AE$123</f>
        <v>1</v>
      </c>
      <c r="AF22" s="43">
        <f>'$$xSchpostCouncil 22'!AF22/'$$xSchpostCouncil 22'!AF$123</f>
        <v>1</v>
      </c>
      <c r="AG22" s="43">
        <f>'$$xSchpostCouncil 22'!AG22/'$$xSchpostCouncil 22'!AG$123</f>
        <v>6</v>
      </c>
      <c r="AH22" s="43">
        <f>'$$xSchpostCouncil 22'!AH22/'$$xSchpostCouncil 22'!AH$123</f>
        <v>0</v>
      </c>
      <c r="AI22" s="43">
        <f>'$$xSchpostCouncil 22'!AI22/'$$xSchpostCouncil 22'!AI$123</f>
        <v>6</v>
      </c>
      <c r="AJ22" s="43"/>
      <c r="AK22" s="43">
        <f>'$$xSchpostCouncil 22'!AK22/'$$xSchpostCouncil 22'!AK$123</f>
        <v>0</v>
      </c>
      <c r="AL22" s="43">
        <f>'$$xSchpostCouncil 22'!AL22/'$$xSchpostCouncil 22'!AL$123</f>
        <v>0</v>
      </c>
      <c r="AM22" s="6"/>
      <c r="AN22" s="6"/>
      <c r="AO22" s="43">
        <f>'$$xSchpostCouncil 22'!AO22/'$$xSchpostCouncil 22'!AO$123</f>
        <v>1</v>
      </c>
      <c r="AP22" s="43">
        <f>'$$xSchpostCouncil 22'!AP22/'$$xSchpostCouncil 22'!AP$123</f>
        <v>0</v>
      </c>
      <c r="AQ22" s="43">
        <f>'$$xSchpostCouncil 22'!AQ22/'$$xSchpostCouncil 22'!AQ$123</f>
        <v>0</v>
      </c>
      <c r="AR22" s="6"/>
      <c r="AS22" s="6">
        <f>20400-13600</f>
        <v>6800</v>
      </c>
      <c r="AT22" s="6">
        <f>20400-13600</f>
        <v>6800</v>
      </c>
      <c r="AU22" s="6">
        <v>10200</v>
      </c>
      <c r="AV22" s="6"/>
      <c r="AW22" s="6">
        <v>27200</v>
      </c>
      <c r="AX22" s="6"/>
      <c r="AY22" s="6"/>
      <c r="AZ22" s="6">
        <v>104743.91</v>
      </c>
      <c r="BA22" s="6"/>
      <c r="BB22" s="6"/>
      <c r="BC22" s="43">
        <f>'$$xSchpostCouncil 22'!BC22/'$$xSchpostCouncil 22'!BC$123</f>
        <v>0</v>
      </c>
      <c r="BD22" s="43">
        <f>'$$xSchpostCouncil 22'!BD22/'$$xSchpostCouncil 22'!BD$123</f>
        <v>0</v>
      </c>
      <c r="BE22" s="6"/>
      <c r="BF22" s="6"/>
      <c r="BG22" s="6"/>
      <c r="BH22" s="43">
        <f>'$$xSchpostCouncil 22'!BH22/'$$xSchpostCouncil 22'!BH$123</f>
        <v>0</v>
      </c>
      <c r="BI22" s="6"/>
      <c r="BJ22" s="43">
        <f>'$$xSchpostCouncil 22'!BJ22/'$$xSchpostCouncil 22'!BJ$123</f>
        <v>0</v>
      </c>
      <c r="BK22" s="6"/>
      <c r="BL22" s="43">
        <f>'$$xSchpostCouncil 22'!BL22/'$$xSchpostCouncil 22'!BL$123</f>
        <v>0</v>
      </c>
      <c r="BM22" s="6"/>
      <c r="BN22" s="43">
        <f>'$$xSchpostCouncil 22'!BN22/'$$xSchpostCouncil 22'!BN$123</f>
        <v>0</v>
      </c>
      <c r="BO22" s="43">
        <f>'$$xSchpostCouncil 22'!BO22/'$$xSchpostCouncil 22'!BO$123</f>
        <v>0</v>
      </c>
      <c r="BP22" s="6"/>
      <c r="BQ22" s="6"/>
      <c r="BR22" s="6"/>
      <c r="BS22" s="6"/>
      <c r="BT22" s="6"/>
      <c r="BU22" s="43">
        <f>'$$xSchpostCouncil 22'!BU22/'$$xSchpostCouncil 22'!BU$123</f>
        <v>0</v>
      </c>
      <c r="BV22" s="43">
        <f>'$$xSchpostCouncil 22'!BV22/'$$xSchpostCouncil 22'!BV$123</f>
        <v>0</v>
      </c>
      <c r="BW22" s="43">
        <f>'$$xSchpostCouncil 22'!BW22/'$$xSchpostCouncil 22'!BW$123</f>
        <v>0</v>
      </c>
      <c r="BX22" s="6">
        <v>260747</v>
      </c>
      <c r="BY22" s="6"/>
      <c r="BZ22" s="6"/>
      <c r="CA22" s="6"/>
      <c r="CB22" s="6"/>
      <c r="CC22" s="6"/>
      <c r="CD22" s="6"/>
      <c r="CE22" s="6"/>
      <c r="CF22" s="6">
        <v>116130</v>
      </c>
      <c r="CI22" s="43">
        <f>'$$xSchpostCouncil 22'!CI22/'$$xSchpostCouncil 22'!CI$123</f>
        <v>1</v>
      </c>
      <c r="CJ22" s="43">
        <f>'$$xSchpostCouncil 22'!CJ22/'$$xSchpostCouncil 22'!CJ$123</f>
        <v>0</v>
      </c>
      <c r="CK22" s="43">
        <f>'$$xSchpostCouncil 22'!CK22/'$$xSchpostCouncil 22'!CK$123</f>
        <v>0.50000550182110282</v>
      </c>
      <c r="CL22" s="43">
        <f>'$$xSchpostCouncil 22'!CL22/'$$xSchpostCouncil 22'!CL$123</f>
        <v>0</v>
      </c>
      <c r="CM22" s="43">
        <f>'$$xSchpostCouncil 22'!CM22/'$$xSchpostCouncil 22'!CM$123</f>
        <v>0</v>
      </c>
      <c r="CN22" s="43">
        <f>'$$xSchpostCouncil 22'!CN22/'$$xSchpostCouncil 22'!CN$123</f>
        <v>0</v>
      </c>
      <c r="CO22" s="43">
        <f>'$$xSchpostCouncil 22'!CO22/'$$xSchpostCouncil 22'!CO$123</f>
        <v>3</v>
      </c>
      <c r="CP22" s="43">
        <f>'$$xSchpostCouncil 22'!CP22/'$$xSchpostCouncil 22'!CP$123</f>
        <v>2</v>
      </c>
      <c r="CQ22" s="43">
        <f>'$$xSchpostCouncil 22'!CQ22/'$$xSchpostCouncil 22'!CQ$123</f>
        <v>8</v>
      </c>
      <c r="CR22" s="43">
        <f>'$$xSchpostCouncil 22'!CR22/'$$xSchpostCouncil 22'!CR$123</f>
        <v>0</v>
      </c>
      <c r="CS22" s="6"/>
      <c r="CT22" s="6"/>
      <c r="CU22" s="6"/>
      <c r="CV22" s="43">
        <f>'$$xSchpostCouncil 22'!CV22/'$$xSchpostCouncil 22'!CV$123</f>
        <v>0</v>
      </c>
      <c r="CW22" s="43">
        <f>'$$xSchpostCouncil 22'!CW22/'$$xSchpostCouncil 22'!CW$123</f>
        <v>0</v>
      </c>
      <c r="CX22" s="6">
        <v>0</v>
      </c>
      <c r="CY22" s="6"/>
      <c r="CZ22" s="6"/>
      <c r="DB22" s="43">
        <f>'$$xSchpostCouncil 22'!DB22/'$$xSchpostCouncil 22'!DB$123</f>
        <v>0</v>
      </c>
      <c r="DC22" s="43">
        <f>'$$xSchpostCouncil 22'!DC22/'$$xSchpostCouncil 22'!DC$123</f>
        <v>0</v>
      </c>
      <c r="DF22" s="43">
        <f>'$$xSchpostCouncil 22'!DF22/'$$xSchpostCouncil 22'!DF$123</f>
        <v>0</v>
      </c>
      <c r="DG22" s="43">
        <f>'$$xSchpostCouncil 22'!DG22/'$$xSchpostCouncil 22'!DG$123</f>
        <v>0</v>
      </c>
      <c r="DH22" s="43">
        <f>'$$xSchpostCouncil 22'!DH22/'$$xSchpostCouncil 22'!DH$123</f>
        <v>0</v>
      </c>
      <c r="DI22" s="43">
        <f>'$$xSchpostCouncil 22'!DI22/'$$xSchpostCouncil 22'!DI$123</f>
        <v>0</v>
      </c>
      <c r="DJ22" s="43">
        <f>'$$xSchpostCouncil 22'!DJ22/'$$xSchpostCouncil 22'!DJ$123</f>
        <v>0</v>
      </c>
      <c r="DK22" s="43">
        <f>'$$xSchpostCouncil 22'!DK22/'$$xSchpostCouncil 22'!DK$123</f>
        <v>0</v>
      </c>
      <c r="DL22" s="6">
        <v>2051</v>
      </c>
      <c r="DM22" s="6"/>
      <c r="DN22" s="43">
        <f>'$$xSchpostCouncil 22'!DN22/'$$xSchpostCouncil 22'!DN$123</f>
        <v>0</v>
      </c>
      <c r="DO22" s="6"/>
      <c r="DP22" s="6">
        <v>10450</v>
      </c>
      <c r="DU22" s="6">
        <f>VLOOKUP($A22,[3]Totals!$B$2:$K$119,10,FALSE)</f>
        <v>61235.65</v>
      </c>
      <c r="DV22" s="6">
        <f>VLOOKUP($A22,[3]Totals!$B$2:$K$119,9,FALSE)</f>
        <v>225138</v>
      </c>
    </row>
    <row r="23" spans="1:126" x14ac:dyDescent="0.2">
      <c r="A23" s="3">
        <v>220</v>
      </c>
      <c r="B23" s="2" t="s">
        <v>107</v>
      </c>
      <c r="C23" t="s">
        <v>7</v>
      </c>
      <c r="D23">
        <v>5</v>
      </c>
      <c r="E23" s="1">
        <v>279</v>
      </c>
      <c r="F23" s="4">
        <v>0.43</v>
      </c>
      <c r="G23">
        <v>120</v>
      </c>
      <c r="H23" s="43">
        <f>'$$xSchpostCouncil 22'!H23/'$$xSchpostCouncil 22'!H$123</f>
        <v>1</v>
      </c>
      <c r="I23" s="43">
        <f>'$$xSchpostCouncil 22'!I23/'$$xSchpostCouncil 22'!I$123</f>
        <v>0</v>
      </c>
      <c r="J23" s="43">
        <f>'$$xSchpostCouncil 22'!J23/'$$xSchpostCouncil 22'!J$123</f>
        <v>0</v>
      </c>
      <c r="K23" s="43">
        <f>'$$xSchpostCouncil 22'!K23/'$$xSchpostCouncil 22'!K$123</f>
        <v>1</v>
      </c>
      <c r="L23" s="6">
        <v>4443</v>
      </c>
      <c r="M23" s="43">
        <f>'$$xSchpostCouncil 22'!M23/'$$xSchpostCouncil 22'!M$123</f>
        <v>1</v>
      </c>
      <c r="N23" s="43">
        <f>'$$xSchpostCouncil 22'!N23/'$$xSchpostCouncil 22'!N$123</f>
        <v>1</v>
      </c>
      <c r="O23" s="43">
        <f>'$$xSchpostCouncil 22'!O23/'$$xSchpostCouncil 22'!O$123</f>
        <v>1</v>
      </c>
      <c r="P23" s="43">
        <f>'$$xSchpostCouncil 22'!P23/'$$xSchpostCouncil 22'!P$123</f>
        <v>1.0000006218408266</v>
      </c>
      <c r="Q23" s="43">
        <f>'$$xSchpostCouncil 22'!Q23/'$$xSchpostCouncil 22'!Q$123</f>
        <v>2</v>
      </c>
      <c r="R23" s="43">
        <f>'$$xSchpostCouncil 22'!R23/'$$xSchpostCouncil 22'!R$123</f>
        <v>1</v>
      </c>
      <c r="S23" s="43">
        <f>'$$xSchpostCouncil 22'!S23/'$$xSchpostCouncil 22'!S$123</f>
        <v>2</v>
      </c>
      <c r="T23" s="43">
        <f>'$$xSchpostCouncil 22'!T23/'$$xSchpostCouncil 22'!T$123</f>
        <v>5</v>
      </c>
      <c r="U23" s="6"/>
      <c r="V23" s="6"/>
      <c r="W23" s="6"/>
      <c r="X23" s="6"/>
      <c r="Y23" s="43">
        <f>'$$xSchpostCouncil 22'!Y23/'$$xSchpostCouncil 22'!Y$123</f>
        <v>0</v>
      </c>
      <c r="Z23" s="43">
        <f>'$$xSchpostCouncil 22'!Z23/'$$xSchpostCouncil 22'!Z$123</f>
        <v>0</v>
      </c>
      <c r="AA23" s="43">
        <f>'$$xSchpostCouncil 22'!AA23/'$$xSchpostCouncil 22'!AA$123</f>
        <v>0</v>
      </c>
      <c r="AB23" s="43">
        <f>'$$xSchpostCouncil 22'!AB23/'$$xSchpostCouncil 22'!AB$123</f>
        <v>0</v>
      </c>
      <c r="AC23" s="6"/>
      <c r="AD23" s="6">
        <v>112425</v>
      </c>
      <c r="AE23" s="43">
        <f>'$$xSchpostCouncil 22'!AE23/'$$xSchpostCouncil 22'!AE$123</f>
        <v>1</v>
      </c>
      <c r="AF23" s="43">
        <f>'$$xSchpostCouncil 22'!AF23/'$$xSchpostCouncil 22'!AF$123</f>
        <v>1</v>
      </c>
      <c r="AG23" s="43">
        <f>'$$xSchpostCouncil 22'!AG23/'$$xSchpostCouncil 22'!AG$123</f>
        <v>7</v>
      </c>
      <c r="AH23" s="43">
        <f>'$$xSchpostCouncil 22'!AH23/'$$xSchpostCouncil 22'!AH$123</f>
        <v>0</v>
      </c>
      <c r="AI23" s="43">
        <f>'$$xSchpostCouncil 22'!AI23/'$$xSchpostCouncil 22'!AI$123</f>
        <v>6</v>
      </c>
      <c r="AJ23" s="43"/>
      <c r="AK23" s="43">
        <f>'$$xSchpostCouncil 22'!AK23/'$$xSchpostCouncil 22'!AK$123</f>
        <v>0</v>
      </c>
      <c r="AL23" s="43">
        <f>'$$xSchpostCouncil 22'!AL23/'$$xSchpostCouncil 22'!AL$123</f>
        <v>0</v>
      </c>
      <c r="AM23" s="6"/>
      <c r="AN23" s="6"/>
      <c r="AO23" s="43">
        <f>'$$xSchpostCouncil 22'!AO23/'$$xSchpostCouncil 22'!AO$123</f>
        <v>2</v>
      </c>
      <c r="AP23" s="43">
        <f>'$$xSchpostCouncil 22'!AP23/'$$xSchpostCouncil 22'!AP$123</f>
        <v>0</v>
      </c>
      <c r="AQ23" s="43">
        <f>'$$xSchpostCouncil 22'!AQ23/'$$xSchpostCouncil 22'!AQ$123</f>
        <v>0</v>
      </c>
      <c r="AR23" s="6"/>
      <c r="AS23" s="6">
        <v>40800</v>
      </c>
      <c r="AT23" s="6">
        <f>40800-20400</f>
        <v>20400</v>
      </c>
      <c r="AU23" s="6">
        <v>10200</v>
      </c>
      <c r="AV23" s="6"/>
      <c r="AW23" s="6">
        <v>40800</v>
      </c>
      <c r="AX23" s="6"/>
      <c r="AY23" s="6"/>
      <c r="AZ23" s="6">
        <v>126506.54000000001</v>
      </c>
      <c r="BA23" s="6"/>
      <c r="BB23" s="6"/>
      <c r="BC23" s="43">
        <f>'$$xSchpostCouncil 22'!BC23/'$$xSchpostCouncil 22'!BC$123</f>
        <v>0</v>
      </c>
      <c r="BD23" s="43">
        <f>'$$xSchpostCouncil 22'!BD23/'$$xSchpostCouncil 22'!BD$123</f>
        <v>0</v>
      </c>
      <c r="BE23" s="6"/>
      <c r="BF23" s="6"/>
      <c r="BG23" s="6"/>
      <c r="BH23" s="43">
        <f>'$$xSchpostCouncil 22'!BH23/'$$xSchpostCouncil 22'!BH$123</f>
        <v>0</v>
      </c>
      <c r="BI23" s="6"/>
      <c r="BJ23" s="43">
        <f>'$$xSchpostCouncil 22'!BJ23/'$$xSchpostCouncil 22'!BJ$123</f>
        <v>0</v>
      </c>
      <c r="BK23" s="6"/>
      <c r="BL23" s="43">
        <f>'$$xSchpostCouncil 22'!BL23/'$$xSchpostCouncil 22'!BL$123</f>
        <v>0</v>
      </c>
      <c r="BM23" s="6"/>
      <c r="BN23" s="43">
        <f>'$$xSchpostCouncil 22'!BN23/'$$xSchpostCouncil 22'!BN$123</f>
        <v>0</v>
      </c>
      <c r="BO23" s="43">
        <f>'$$xSchpostCouncil 22'!BO23/'$$xSchpostCouncil 22'!BO$123</f>
        <v>0</v>
      </c>
      <c r="BP23" s="6"/>
      <c r="BQ23" s="6"/>
      <c r="BR23" s="6"/>
      <c r="BS23" s="6"/>
      <c r="BT23" s="6"/>
      <c r="BU23" s="43">
        <f>'$$xSchpostCouncil 22'!BU23/'$$xSchpostCouncil 22'!BU$123</f>
        <v>0</v>
      </c>
      <c r="BV23" s="43">
        <f>'$$xSchpostCouncil 22'!BV23/'$$xSchpostCouncil 22'!BV$123</f>
        <v>0</v>
      </c>
      <c r="BW23" s="43">
        <f>'$$xSchpostCouncil 22'!BW23/'$$xSchpostCouncil 22'!BW$123</f>
        <v>0</v>
      </c>
      <c r="BX23" s="6">
        <v>303782</v>
      </c>
      <c r="BY23" s="6"/>
      <c r="BZ23" s="6"/>
      <c r="CA23" s="6"/>
      <c r="CB23" s="6"/>
      <c r="CC23" s="6"/>
      <c r="CD23" s="6"/>
      <c r="CE23" s="6"/>
      <c r="CF23" s="6">
        <v>180148</v>
      </c>
      <c r="CI23" s="43">
        <f>'$$xSchpostCouncil 22'!CI23/'$$xSchpostCouncil 22'!CI$123</f>
        <v>1</v>
      </c>
      <c r="CJ23" s="43">
        <f>'$$xSchpostCouncil 22'!CJ23/'$$xSchpostCouncil 22'!CJ$123</f>
        <v>0</v>
      </c>
      <c r="CK23" s="43">
        <f>'$$xSchpostCouncil 22'!CK23/'$$xSchpostCouncil 22'!CK$123</f>
        <v>0.50000550182110282</v>
      </c>
      <c r="CL23" s="43">
        <f>'$$xSchpostCouncil 22'!CL23/'$$xSchpostCouncil 22'!CL$123</f>
        <v>0</v>
      </c>
      <c r="CM23" s="43">
        <f>'$$xSchpostCouncil 22'!CM23/'$$xSchpostCouncil 22'!CM$123</f>
        <v>0</v>
      </c>
      <c r="CN23" s="43">
        <f>'$$xSchpostCouncil 22'!CN23/'$$xSchpostCouncil 22'!CN$123</f>
        <v>0</v>
      </c>
      <c r="CO23" s="43">
        <f>'$$xSchpostCouncil 22'!CO23/'$$xSchpostCouncil 22'!CO$123</f>
        <v>3</v>
      </c>
      <c r="CP23" s="43">
        <f>'$$xSchpostCouncil 22'!CP23/'$$xSchpostCouncil 22'!CP$123</f>
        <v>2</v>
      </c>
      <c r="CQ23" s="43">
        <f>'$$xSchpostCouncil 22'!CQ23/'$$xSchpostCouncil 22'!CQ$123</f>
        <v>12</v>
      </c>
      <c r="CR23" s="43">
        <f>'$$xSchpostCouncil 22'!CR23/'$$xSchpostCouncil 22'!CR$123</f>
        <v>0</v>
      </c>
      <c r="CS23" s="6"/>
      <c r="CT23" s="6"/>
      <c r="CU23" s="6"/>
      <c r="CV23" s="43">
        <f>'$$xSchpostCouncil 22'!CV23/'$$xSchpostCouncil 22'!CV$123</f>
        <v>0</v>
      </c>
      <c r="CW23" s="43">
        <f>'$$xSchpostCouncil 22'!CW23/'$$xSchpostCouncil 22'!CW$123</f>
        <v>0</v>
      </c>
      <c r="CX23" s="6">
        <v>0</v>
      </c>
      <c r="CY23" s="6"/>
      <c r="CZ23" s="6"/>
      <c r="DB23" s="43">
        <f>'$$xSchpostCouncil 22'!DB23/'$$xSchpostCouncil 22'!DB$123</f>
        <v>0</v>
      </c>
      <c r="DC23" s="43">
        <f>'$$xSchpostCouncil 22'!DC23/'$$xSchpostCouncil 22'!DC$123</f>
        <v>0</v>
      </c>
      <c r="DF23" s="43">
        <f>'$$xSchpostCouncil 22'!DF23/'$$xSchpostCouncil 22'!DF$123</f>
        <v>0</v>
      </c>
      <c r="DG23" s="43">
        <f>'$$xSchpostCouncil 22'!DG23/'$$xSchpostCouncil 22'!DG$123</f>
        <v>0</v>
      </c>
      <c r="DH23" s="43">
        <f>'$$xSchpostCouncil 22'!DH23/'$$xSchpostCouncil 22'!DH$123</f>
        <v>0</v>
      </c>
      <c r="DI23" s="43">
        <f>'$$xSchpostCouncil 22'!DI23/'$$xSchpostCouncil 22'!DI$123</f>
        <v>0</v>
      </c>
      <c r="DJ23" s="43">
        <f>'$$xSchpostCouncil 22'!DJ23/'$$xSchpostCouncil 22'!DJ$123</f>
        <v>0</v>
      </c>
      <c r="DK23" s="43">
        <f>'$$xSchpostCouncil 22'!DK23/'$$xSchpostCouncil 22'!DK$123</f>
        <v>0</v>
      </c>
      <c r="DL23" s="6">
        <v>2400</v>
      </c>
      <c r="DM23" s="6"/>
      <c r="DN23" s="43">
        <f>'$$xSchpostCouncil 22'!DN23/'$$xSchpostCouncil 22'!DN$123</f>
        <v>0</v>
      </c>
      <c r="DO23" s="6"/>
      <c r="DP23" s="6">
        <v>8550</v>
      </c>
      <c r="DU23" s="6">
        <f>VLOOKUP($A23,[3]Totals!$B$2:$K$119,10,FALSE)</f>
        <v>134028.64000000001</v>
      </c>
      <c r="DV23" s="6">
        <f>VLOOKUP($A23,[3]Totals!$B$2:$K$119,9,FALSE)</f>
        <v>112569</v>
      </c>
    </row>
    <row r="24" spans="1:126" x14ac:dyDescent="0.2">
      <c r="A24" s="3">
        <v>221</v>
      </c>
      <c r="B24" s="2" t="s">
        <v>106</v>
      </c>
      <c r="C24" t="s">
        <v>7</v>
      </c>
      <c r="D24">
        <v>7</v>
      </c>
      <c r="E24" s="1">
        <v>305</v>
      </c>
      <c r="F24" s="4">
        <v>0.66900000000000004</v>
      </c>
      <c r="G24">
        <v>204</v>
      </c>
      <c r="H24" s="43">
        <f>'$$xSchpostCouncil 22'!H24/'$$xSchpostCouncil 22'!H$123</f>
        <v>1</v>
      </c>
      <c r="I24" s="43">
        <f>'$$xSchpostCouncil 22'!I24/'$$xSchpostCouncil 22'!I$123</f>
        <v>0</v>
      </c>
      <c r="J24" s="43">
        <f>'$$xSchpostCouncil 22'!J24/'$$xSchpostCouncil 22'!J$123</f>
        <v>0</v>
      </c>
      <c r="K24" s="43">
        <f>'$$xSchpostCouncil 22'!K24/'$$xSchpostCouncil 22'!K$123</f>
        <v>1</v>
      </c>
      <c r="L24" s="6">
        <v>5857</v>
      </c>
      <c r="M24" s="43">
        <f>'$$xSchpostCouncil 22'!M24/'$$xSchpostCouncil 22'!M$123</f>
        <v>1</v>
      </c>
      <c r="N24" s="43">
        <f>'$$xSchpostCouncil 22'!N24/'$$xSchpostCouncil 22'!N$123</f>
        <v>1</v>
      </c>
      <c r="O24" s="43">
        <f>'$$xSchpostCouncil 22'!O24/'$$xSchpostCouncil 22'!O$123</f>
        <v>2</v>
      </c>
      <c r="P24" s="43">
        <f>'$$xSchpostCouncil 22'!P24/'$$xSchpostCouncil 22'!P$123</f>
        <v>1</v>
      </c>
      <c r="Q24" s="43">
        <f>'$$xSchpostCouncil 22'!Q24/'$$xSchpostCouncil 22'!Q$123</f>
        <v>2</v>
      </c>
      <c r="R24" s="43">
        <f>'$$xSchpostCouncil 22'!R24/'$$xSchpostCouncil 22'!R$123</f>
        <v>1</v>
      </c>
      <c r="S24" s="43">
        <f>'$$xSchpostCouncil 22'!S24/'$$xSchpostCouncil 22'!S$123</f>
        <v>3</v>
      </c>
      <c r="T24" s="43">
        <f>'$$xSchpostCouncil 22'!T24/'$$xSchpostCouncil 22'!T$123</f>
        <v>6</v>
      </c>
      <c r="U24" s="6"/>
      <c r="V24" s="6"/>
      <c r="W24" s="6"/>
      <c r="X24" s="6"/>
      <c r="Y24" s="43">
        <f>'$$xSchpostCouncil 22'!Y24/'$$xSchpostCouncil 22'!Y$123</f>
        <v>0</v>
      </c>
      <c r="Z24" s="43">
        <f>'$$xSchpostCouncil 22'!Z24/'$$xSchpostCouncil 22'!Z$123</f>
        <v>0</v>
      </c>
      <c r="AA24" s="43">
        <f>'$$xSchpostCouncil 22'!AA24/'$$xSchpostCouncil 22'!AA$123</f>
        <v>0</v>
      </c>
      <c r="AB24" s="43">
        <f>'$$xSchpostCouncil 22'!AB24/'$$xSchpostCouncil 22'!AB$123</f>
        <v>0</v>
      </c>
      <c r="AC24" s="6"/>
      <c r="AD24" s="6">
        <v>110553</v>
      </c>
      <c r="AE24" s="43">
        <f>'$$xSchpostCouncil 22'!AE24/'$$xSchpostCouncil 22'!AE$123</f>
        <v>1</v>
      </c>
      <c r="AF24" s="43">
        <f>'$$xSchpostCouncil 22'!AF24/'$$xSchpostCouncil 22'!AF$123</f>
        <v>1</v>
      </c>
      <c r="AG24" s="43">
        <f>'$$xSchpostCouncil 22'!AG24/'$$xSchpostCouncil 22'!AG$123</f>
        <v>3</v>
      </c>
      <c r="AH24" s="43">
        <f>'$$xSchpostCouncil 22'!AH24/'$$xSchpostCouncil 22'!AH$123</f>
        <v>0</v>
      </c>
      <c r="AI24" s="43">
        <f>'$$xSchpostCouncil 22'!AI24/'$$xSchpostCouncil 22'!AI$123</f>
        <v>0</v>
      </c>
      <c r="AJ24" s="43"/>
      <c r="AK24" s="43">
        <f>'$$xSchpostCouncil 22'!AK24/'$$xSchpostCouncil 22'!AK$123</f>
        <v>0</v>
      </c>
      <c r="AL24" s="43">
        <f>'$$xSchpostCouncil 22'!AL24/'$$xSchpostCouncil 22'!AL$123</f>
        <v>0</v>
      </c>
      <c r="AM24" s="6"/>
      <c r="AN24" s="6"/>
      <c r="AO24" s="43">
        <f>'$$xSchpostCouncil 22'!AO24/'$$xSchpostCouncil 22'!AO$123</f>
        <v>0</v>
      </c>
      <c r="AP24" s="43">
        <f>'$$xSchpostCouncil 22'!AP24/'$$xSchpostCouncil 22'!AP$123</f>
        <v>0.14000302036972878</v>
      </c>
      <c r="AQ24" s="43">
        <f>'$$xSchpostCouncil 22'!AQ24/'$$xSchpostCouncil 22'!AQ$123</f>
        <v>0</v>
      </c>
      <c r="AR24" s="6"/>
      <c r="AS24" s="6">
        <f>27200-13600</f>
        <v>13600</v>
      </c>
      <c r="AT24" s="6">
        <f>27200-13600</f>
        <v>13600</v>
      </c>
      <c r="AU24" s="6">
        <v>10200</v>
      </c>
      <c r="AV24" s="6"/>
      <c r="AW24" s="6">
        <v>27200</v>
      </c>
      <c r="AX24" s="6"/>
      <c r="AY24" s="6"/>
      <c r="AZ24" s="6">
        <v>138297.23000000001</v>
      </c>
      <c r="BA24" s="6"/>
      <c r="BB24" s="6"/>
      <c r="BC24" s="43">
        <f>'$$xSchpostCouncil 22'!BC24/'$$xSchpostCouncil 22'!BC$123</f>
        <v>0</v>
      </c>
      <c r="BD24" s="43">
        <f>'$$xSchpostCouncil 22'!BD24/'$$xSchpostCouncil 22'!BD$123</f>
        <v>0</v>
      </c>
      <c r="BE24" s="6"/>
      <c r="BF24" s="6"/>
      <c r="BG24" s="6"/>
      <c r="BH24" s="43">
        <f>'$$xSchpostCouncil 22'!BH24/'$$xSchpostCouncil 22'!BH$123</f>
        <v>0</v>
      </c>
      <c r="BI24" s="6"/>
      <c r="BJ24" s="43">
        <f>'$$xSchpostCouncil 22'!BJ24/'$$xSchpostCouncil 22'!BJ$123</f>
        <v>0</v>
      </c>
      <c r="BK24" s="6"/>
      <c r="BL24" s="43">
        <f>'$$xSchpostCouncil 22'!BL24/'$$xSchpostCouncil 22'!BL$123</f>
        <v>0</v>
      </c>
      <c r="BM24" s="6"/>
      <c r="BN24" s="43">
        <f>'$$xSchpostCouncil 22'!BN24/'$$xSchpostCouncil 22'!BN$123</f>
        <v>0</v>
      </c>
      <c r="BO24" s="43">
        <f>'$$xSchpostCouncil 22'!BO24/'$$xSchpostCouncil 22'!BO$123</f>
        <v>0</v>
      </c>
      <c r="BP24" s="6"/>
      <c r="BQ24" s="6"/>
      <c r="BR24" s="6">
        <v>13859</v>
      </c>
      <c r="BS24" s="6"/>
      <c r="BT24" s="6"/>
      <c r="BU24" s="43">
        <f>'$$xSchpostCouncil 22'!BU24/'$$xSchpostCouncil 22'!BU$123</f>
        <v>0</v>
      </c>
      <c r="BV24" s="43">
        <f>'$$xSchpostCouncil 22'!BV24/'$$xSchpostCouncil 22'!BV$123</f>
        <v>0</v>
      </c>
      <c r="BW24" s="43">
        <f>'$$xSchpostCouncil 22'!BW24/'$$xSchpostCouncil 22'!BW$123</f>
        <v>0</v>
      </c>
      <c r="BX24" s="6">
        <v>516430</v>
      </c>
      <c r="BY24" s="6"/>
      <c r="BZ24" s="6"/>
      <c r="CA24" s="6"/>
      <c r="CB24" s="6"/>
      <c r="CC24" s="6"/>
      <c r="CD24" s="6"/>
      <c r="CE24" s="6"/>
      <c r="CF24" s="6">
        <v>104157</v>
      </c>
      <c r="CI24" s="43">
        <f>'$$xSchpostCouncil 22'!CI24/'$$xSchpostCouncil 22'!CI$123</f>
        <v>1</v>
      </c>
      <c r="CJ24" s="43">
        <f>'$$xSchpostCouncil 22'!CJ24/'$$xSchpostCouncil 22'!CJ$123</f>
        <v>0.79999872228149416</v>
      </c>
      <c r="CK24" s="43">
        <f>'$$xSchpostCouncil 22'!CK24/'$$xSchpostCouncil 22'!CK$123</f>
        <v>1</v>
      </c>
      <c r="CL24" s="43">
        <f>'$$xSchpostCouncil 22'!CL24/'$$xSchpostCouncil 22'!CL$123</f>
        <v>0</v>
      </c>
      <c r="CM24" s="43">
        <f>'$$xSchpostCouncil 22'!CM24/'$$xSchpostCouncil 22'!CM$123</f>
        <v>0</v>
      </c>
      <c r="CN24" s="43">
        <f>'$$xSchpostCouncil 22'!CN24/'$$xSchpostCouncil 22'!CN$123</f>
        <v>0</v>
      </c>
      <c r="CO24" s="43">
        <f>'$$xSchpostCouncil 22'!CO24/'$$xSchpostCouncil 22'!CO$123</f>
        <v>3</v>
      </c>
      <c r="CP24" s="43">
        <f>'$$xSchpostCouncil 22'!CP24/'$$xSchpostCouncil 22'!CP$123</f>
        <v>2</v>
      </c>
      <c r="CQ24" s="43">
        <f>'$$xSchpostCouncil 22'!CQ24/'$$xSchpostCouncil 22'!CQ$123</f>
        <v>12</v>
      </c>
      <c r="CR24" s="43">
        <f>'$$xSchpostCouncil 22'!CR24/'$$xSchpostCouncil 22'!CR$123</f>
        <v>0</v>
      </c>
      <c r="CS24" s="6"/>
      <c r="CT24" s="6"/>
      <c r="CU24" s="6"/>
      <c r="CV24" s="43">
        <f>'$$xSchpostCouncil 22'!CV24/'$$xSchpostCouncil 22'!CV$123</f>
        <v>0</v>
      </c>
      <c r="CW24" s="43">
        <f>'$$xSchpostCouncil 22'!CW24/'$$xSchpostCouncil 22'!CW$123</f>
        <v>0</v>
      </c>
      <c r="CX24" s="6">
        <v>0</v>
      </c>
      <c r="CY24" s="6"/>
      <c r="CZ24" s="6"/>
      <c r="DB24" s="43">
        <f>'$$xSchpostCouncil 22'!DB24/'$$xSchpostCouncil 22'!DB$123</f>
        <v>0</v>
      </c>
      <c r="DC24" s="43">
        <f>'$$xSchpostCouncil 22'!DC24/'$$xSchpostCouncil 22'!DC$123</f>
        <v>0</v>
      </c>
      <c r="DF24" s="43">
        <f>'$$xSchpostCouncil 22'!DF24/'$$xSchpostCouncil 22'!DF$123</f>
        <v>0</v>
      </c>
      <c r="DG24" s="43">
        <f>'$$xSchpostCouncil 22'!DG24/'$$xSchpostCouncil 22'!DG$123</f>
        <v>0</v>
      </c>
      <c r="DH24" s="43">
        <f>'$$xSchpostCouncil 22'!DH24/'$$xSchpostCouncil 22'!DH$123</f>
        <v>0</v>
      </c>
      <c r="DI24" s="43">
        <f>'$$xSchpostCouncil 22'!DI24/'$$xSchpostCouncil 22'!DI$123</f>
        <v>0</v>
      </c>
      <c r="DJ24" s="43">
        <f>'$$xSchpostCouncil 22'!DJ24/'$$xSchpostCouncil 22'!DJ$123</f>
        <v>0</v>
      </c>
      <c r="DK24" s="43">
        <f>'$$xSchpostCouncil 22'!DK24/'$$xSchpostCouncil 22'!DK$123</f>
        <v>0</v>
      </c>
      <c r="DL24" s="6">
        <v>4080</v>
      </c>
      <c r="DM24" s="6"/>
      <c r="DN24" s="43">
        <f>'$$xSchpostCouncil 22'!DN24/'$$xSchpostCouncil 22'!DN$123</f>
        <v>0</v>
      </c>
      <c r="DO24" s="6"/>
      <c r="DP24" s="6">
        <v>7425</v>
      </c>
      <c r="DU24" s="6">
        <f>VLOOKUP($A24,[3]Totals!$B$2:$K$119,10,FALSE)</f>
        <v>179083.55</v>
      </c>
      <c r="DV24" s="6">
        <f>VLOOKUP($A24,[3]Totals!$B$2:$K$119,9,FALSE)</f>
        <v>191509</v>
      </c>
    </row>
    <row r="25" spans="1:126" x14ac:dyDescent="0.2">
      <c r="A25" s="3">
        <v>247</v>
      </c>
      <c r="B25" s="2" t="s">
        <v>105</v>
      </c>
      <c r="C25" t="s">
        <v>7</v>
      </c>
      <c r="D25">
        <v>7</v>
      </c>
      <c r="E25" s="1">
        <v>232</v>
      </c>
      <c r="F25" s="4">
        <v>0.79300000000000004</v>
      </c>
      <c r="G25">
        <v>184</v>
      </c>
      <c r="H25" s="43">
        <f>'$$xSchpostCouncil 22'!H25/'$$xSchpostCouncil 22'!H$123</f>
        <v>1</v>
      </c>
      <c r="I25" s="43">
        <f>'$$xSchpostCouncil 22'!I25/'$$xSchpostCouncil 22'!I$123</f>
        <v>0</v>
      </c>
      <c r="J25" s="43">
        <f>'$$xSchpostCouncil 22'!J25/'$$xSchpostCouncil 22'!J$123</f>
        <v>0</v>
      </c>
      <c r="K25" s="43">
        <f>'$$xSchpostCouncil 22'!K25/'$$xSchpostCouncil 22'!K$123</f>
        <v>1</v>
      </c>
      <c r="L25" s="6">
        <v>4373</v>
      </c>
      <c r="M25" s="43">
        <f>'$$xSchpostCouncil 22'!M25/'$$xSchpostCouncil 22'!M$123</f>
        <v>1</v>
      </c>
      <c r="N25" s="43">
        <f>'$$xSchpostCouncil 22'!N25/'$$xSchpostCouncil 22'!N$123</f>
        <v>1</v>
      </c>
      <c r="O25" s="43">
        <f>'$$xSchpostCouncil 22'!O25/'$$xSchpostCouncil 22'!O$123</f>
        <v>1</v>
      </c>
      <c r="P25" s="43">
        <f>'$$xSchpostCouncil 22'!P25/'$$xSchpostCouncil 22'!P$123</f>
        <v>1.0000006218408266</v>
      </c>
      <c r="Q25" s="43">
        <f>'$$xSchpostCouncil 22'!Q25/'$$xSchpostCouncil 22'!Q$123</f>
        <v>1</v>
      </c>
      <c r="R25" s="43">
        <f>'$$xSchpostCouncil 22'!R25/'$$xSchpostCouncil 22'!R$123</f>
        <v>0</v>
      </c>
      <c r="S25" s="43">
        <f>'$$xSchpostCouncil 22'!S25/'$$xSchpostCouncil 22'!S$123</f>
        <v>2</v>
      </c>
      <c r="T25" s="43">
        <f>'$$xSchpostCouncil 22'!T25/'$$xSchpostCouncil 22'!T$123</f>
        <v>3</v>
      </c>
      <c r="U25" s="6"/>
      <c r="V25" s="6"/>
      <c r="W25" s="6"/>
      <c r="X25" s="6"/>
      <c r="Y25" s="43">
        <f>'$$xSchpostCouncil 22'!Y25/'$$xSchpostCouncil 22'!Y$123</f>
        <v>0</v>
      </c>
      <c r="Z25" s="43">
        <f>'$$xSchpostCouncil 22'!Z25/'$$xSchpostCouncil 22'!Z$123</f>
        <v>0</v>
      </c>
      <c r="AA25" s="43">
        <f>'$$xSchpostCouncil 22'!AA25/'$$xSchpostCouncil 22'!AA$123</f>
        <v>0</v>
      </c>
      <c r="AB25" s="43">
        <f>'$$xSchpostCouncil 22'!AB25/'$$xSchpostCouncil 22'!AB$123</f>
        <v>0</v>
      </c>
      <c r="AC25" s="6"/>
      <c r="AD25" s="6">
        <v>94381</v>
      </c>
      <c r="AE25" s="43">
        <f>'$$xSchpostCouncil 22'!AE25/'$$xSchpostCouncil 22'!AE$123</f>
        <v>1</v>
      </c>
      <c r="AF25" s="43">
        <f>'$$xSchpostCouncil 22'!AF25/'$$xSchpostCouncil 22'!AF$123</f>
        <v>1</v>
      </c>
      <c r="AG25" s="43">
        <f>'$$xSchpostCouncil 22'!AG25/'$$xSchpostCouncil 22'!AG$123</f>
        <v>6</v>
      </c>
      <c r="AH25" s="43">
        <f>'$$xSchpostCouncil 22'!AH25/'$$xSchpostCouncil 22'!AH$123</f>
        <v>0</v>
      </c>
      <c r="AI25" s="43">
        <f>'$$xSchpostCouncil 22'!AI25/'$$xSchpostCouncil 22'!AI$123</f>
        <v>4</v>
      </c>
      <c r="AJ25" s="43"/>
      <c r="AK25" s="43">
        <f>'$$xSchpostCouncil 22'!AK25/'$$xSchpostCouncil 22'!AK$123</f>
        <v>0</v>
      </c>
      <c r="AL25" s="43">
        <f>'$$xSchpostCouncil 22'!AL25/'$$xSchpostCouncil 22'!AL$123</f>
        <v>0</v>
      </c>
      <c r="AM25" s="6"/>
      <c r="AN25" s="6"/>
      <c r="AO25" s="43">
        <f>'$$xSchpostCouncil 22'!AO25/'$$xSchpostCouncil 22'!AO$123</f>
        <v>0</v>
      </c>
      <c r="AP25" s="43">
        <f>'$$xSchpostCouncil 22'!AP25/'$$xSchpostCouncil 22'!AP$123</f>
        <v>4.9996002451829544E-2</v>
      </c>
      <c r="AQ25" s="43">
        <f>'$$xSchpostCouncil 22'!AQ25/'$$xSchpostCouncil 22'!AQ$123</f>
        <v>0</v>
      </c>
      <c r="AR25" s="6"/>
      <c r="AS25" s="6">
        <f>27200-20400</f>
        <v>6800</v>
      </c>
      <c r="AT25" s="6">
        <f>27200-6800</f>
        <v>20400</v>
      </c>
      <c r="AU25" s="6">
        <v>10200</v>
      </c>
      <c r="AV25" s="6"/>
      <c r="AW25" s="6">
        <v>27200</v>
      </c>
      <c r="AX25" s="6"/>
      <c r="AY25" s="6"/>
      <c r="AZ25" s="6">
        <v>211848.32500000001</v>
      </c>
      <c r="BA25" s="6"/>
      <c r="BB25" s="6"/>
      <c r="BC25" s="43">
        <f>'$$xSchpostCouncil 22'!BC25/'$$xSchpostCouncil 22'!BC$123</f>
        <v>1</v>
      </c>
      <c r="BD25" s="43">
        <f>'$$xSchpostCouncil 22'!BD25/'$$xSchpostCouncil 22'!BD$123</f>
        <v>0</v>
      </c>
      <c r="BE25" s="6"/>
      <c r="BF25" s="6"/>
      <c r="BG25" s="6"/>
      <c r="BH25" s="43">
        <f>'$$xSchpostCouncil 22'!BH25/'$$xSchpostCouncil 22'!BH$123</f>
        <v>0</v>
      </c>
      <c r="BI25" s="6"/>
      <c r="BJ25" s="43">
        <f>'$$xSchpostCouncil 22'!BJ25/'$$xSchpostCouncil 22'!BJ$123</f>
        <v>0</v>
      </c>
      <c r="BK25" s="6"/>
      <c r="BL25" s="43">
        <f>'$$xSchpostCouncil 22'!BL25/'$$xSchpostCouncil 22'!BL$123</f>
        <v>0</v>
      </c>
      <c r="BM25" s="6"/>
      <c r="BN25" s="43">
        <f>'$$xSchpostCouncil 22'!BN25/'$$xSchpostCouncil 22'!BN$123</f>
        <v>0</v>
      </c>
      <c r="BO25" s="43">
        <f>'$$xSchpostCouncil 22'!BO25/'$$xSchpostCouncil 22'!BO$123</f>
        <v>0</v>
      </c>
      <c r="BP25" s="6"/>
      <c r="BQ25" s="6"/>
      <c r="BR25" s="6">
        <v>13859</v>
      </c>
      <c r="BS25" s="6"/>
      <c r="BT25" s="6"/>
      <c r="BU25" s="43">
        <f>'$$xSchpostCouncil 22'!BU25/'$$xSchpostCouncil 22'!BU$123</f>
        <v>0</v>
      </c>
      <c r="BV25" s="43">
        <f>'$$xSchpostCouncil 22'!BV25/'$$xSchpostCouncil 22'!BV$123</f>
        <v>0</v>
      </c>
      <c r="BW25" s="43">
        <f>'$$xSchpostCouncil 22'!BW25/'$$xSchpostCouncil 22'!BW$123</f>
        <v>0</v>
      </c>
      <c r="BX25" s="6">
        <v>465798</v>
      </c>
      <c r="BY25" s="6"/>
      <c r="BZ25" s="6"/>
      <c r="CA25" s="6"/>
      <c r="CB25" s="6"/>
      <c r="CC25" s="6">
        <v>47495</v>
      </c>
      <c r="CD25" s="6"/>
      <c r="CE25" s="6">
        <v>112569</v>
      </c>
      <c r="CF25" s="6">
        <v>106680</v>
      </c>
      <c r="CI25" s="43">
        <f>'$$xSchpostCouncil 22'!CI25/'$$xSchpostCouncil 22'!CI$123</f>
        <v>1</v>
      </c>
      <c r="CJ25" s="43">
        <f>'$$xSchpostCouncil 22'!CJ25/'$$xSchpostCouncil 22'!CJ$123</f>
        <v>0</v>
      </c>
      <c r="CK25" s="43">
        <f>'$$xSchpostCouncil 22'!CK25/'$$xSchpostCouncil 22'!CK$123</f>
        <v>0.50000550182110282</v>
      </c>
      <c r="CL25" s="43">
        <f>'$$xSchpostCouncil 22'!CL25/'$$xSchpostCouncil 22'!CL$123</f>
        <v>0</v>
      </c>
      <c r="CM25" s="43">
        <f>'$$xSchpostCouncil 22'!CM25/'$$xSchpostCouncil 22'!CM$123</f>
        <v>0</v>
      </c>
      <c r="CN25" s="43">
        <f>'$$xSchpostCouncil 22'!CN25/'$$xSchpostCouncil 22'!CN$123</f>
        <v>0</v>
      </c>
      <c r="CO25" s="43">
        <f>'$$xSchpostCouncil 22'!CO25/'$$xSchpostCouncil 22'!CO$123</f>
        <v>3</v>
      </c>
      <c r="CP25" s="43">
        <f>'$$xSchpostCouncil 22'!CP25/'$$xSchpostCouncil 22'!CP$123</f>
        <v>2</v>
      </c>
      <c r="CQ25" s="43">
        <f>'$$xSchpostCouncil 22'!CQ25/'$$xSchpostCouncil 22'!CQ$123</f>
        <v>11</v>
      </c>
      <c r="CR25" s="43">
        <f>'$$xSchpostCouncil 22'!CR25/'$$xSchpostCouncil 22'!CR$123</f>
        <v>0</v>
      </c>
      <c r="CS25" s="6"/>
      <c r="CT25" s="6"/>
      <c r="CU25" s="6"/>
      <c r="CV25" s="43">
        <f>'$$xSchpostCouncil 22'!CV25/'$$xSchpostCouncil 22'!CV$123</f>
        <v>0</v>
      </c>
      <c r="CW25" s="43">
        <f>'$$xSchpostCouncil 22'!CW25/'$$xSchpostCouncil 22'!CW$123</f>
        <v>0</v>
      </c>
      <c r="CX25" s="6">
        <v>0</v>
      </c>
      <c r="CY25" s="6"/>
      <c r="CZ25" s="6"/>
      <c r="DB25" s="43">
        <f>'$$xSchpostCouncil 22'!DB25/'$$xSchpostCouncil 22'!DB$123</f>
        <v>0</v>
      </c>
      <c r="DC25" s="43">
        <f>'$$xSchpostCouncil 22'!DC25/'$$xSchpostCouncil 22'!DC$123</f>
        <v>0</v>
      </c>
      <c r="DF25" s="43">
        <f>'$$xSchpostCouncil 22'!DF25/'$$xSchpostCouncil 22'!DF$123</f>
        <v>0</v>
      </c>
      <c r="DG25" s="43">
        <f>'$$xSchpostCouncil 22'!DG25/'$$xSchpostCouncil 22'!DG$123</f>
        <v>0</v>
      </c>
      <c r="DH25" s="43">
        <f>'$$xSchpostCouncil 22'!DH25/'$$xSchpostCouncil 22'!DH$123</f>
        <v>0</v>
      </c>
      <c r="DI25" s="43">
        <f>'$$xSchpostCouncil 22'!DI25/'$$xSchpostCouncil 22'!DI$123</f>
        <v>0</v>
      </c>
      <c r="DJ25" s="43">
        <f>'$$xSchpostCouncil 22'!DJ25/'$$xSchpostCouncil 22'!DJ$123</f>
        <v>0</v>
      </c>
      <c r="DK25" s="43">
        <f>'$$xSchpostCouncil 22'!DK25/'$$xSchpostCouncil 22'!DK$123</f>
        <v>0</v>
      </c>
      <c r="DL25" s="6">
        <v>7404</v>
      </c>
      <c r="DM25" s="6"/>
      <c r="DN25" s="43">
        <f>'$$xSchpostCouncil 22'!DN25/'$$xSchpostCouncil 22'!DN$123</f>
        <v>0</v>
      </c>
      <c r="DO25" s="6"/>
      <c r="DP25" s="6">
        <v>21450</v>
      </c>
      <c r="DU25" s="6">
        <f>VLOOKUP($A25,[3]Totals!$B$2:$K$119,10,FALSE)</f>
        <v>161663.60999999999</v>
      </c>
      <c r="DV25" s="6">
        <f>VLOOKUP($A25,[3]Totals!$B$2:$K$119,9,FALSE)</f>
        <v>225138</v>
      </c>
    </row>
    <row r="26" spans="1:126" x14ac:dyDescent="0.2">
      <c r="A26" s="3">
        <v>360</v>
      </c>
      <c r="B26" s="2" t="s">
        <v>104</v>
      </c>
      <c r="C26" t="s">
        <v>4</v>
      </c>
      <c r="D26">
        <v>6</v>
      </c>
      <c r="E26" s="1">
        <v>355</v>
      </c>
      <c r="F26" s="4">
        <v>0.189</v>
      </c>
      <c r="G26">
        <v>67</v>
      </c>
      <c r="H26" s="43">
        <f>'$$xSchpostCouncil 22'!H26/'$$xSchpostCouncil 22'!H$123</f>
        <v>1</v>
      </c>
      <c r="I26" s="43">
        <f>'$$xSchpostCouncil 22'!I26/'$$xSchpostCouncil 22'!I$123</f>
        <v>1</v>
      </c>
      <c r="J26" s="43">
        <f>'$$xSchpostCouncil 22'!J26/'$$xSchpostCouncil 22'!J$123</f>
        <v>0</v>
      </c>
      <c r="K26" s="43">
        <f>'$$xSchpostCouncil 22'!K26/'$$xSchpostCouncil 22'!K$123</f>
        <v>1</v>
      </c>
      <c r="L26" s="6">
        <v>4777</v>
      </c>
      <c r="M26" s="43">
        <f>'$$xSchpostCouncil 22'!M26/'$$xSchpostCouncil 22'!M$123</f>
        <v>1</v>
      </c>
      <c r="N26" s="43">
        <f>'$$xSchpostCouncil 22'!N26/'$$xSchpostCouncil 22'!N$123</f>
        <v>1</v>
      </c>
      <c r="O26" s="43">
        <f>'$$xSchpostCouncil 22'!O26/'$$xSchpostCouncil 22'!O$123</f>
        <v>2</v>
      </c>
      <c r="P26" s="43">
        <f>'$$xSchpostCouncil 22'!P26/'$$xSchpostCouncil 22'!P$123</f>
        <v>1</v>
      </c>
      <c r="Q26" s="43">
        <f>'$$xSchpostCouncil 22'!Q26/'$$xSchpostCouncil 22'!Q$123</f>
        <v>0</v>
      </c>
      <c r="R26" s="43">
        <f>'$$xSchpostCouncil 22'!R26/'$$xSchpostCouncil 22'!R$123</f>
        <v>8</v>
      </c>
      <c r="S26" s="43">
        <f>'$$xSchpostCouncil 22'!S26/'$$xSchpostCouncil 22'!S$123</f>
        <v>0</v>
      </c>
      <c r="T26" s="43">
        <f>'$$xSchpostCouncil 22'!T26/'$$xSchpostCouncil 22'!T$123</f>
        <v>8</v>
      </c>
      <c r="U26" s="6"/>
      <c r="V26" s="6"/>
      <c r="W26" s="6"/>
      <c r="X26" s="6"/>
      <c r="Y26" s="43">
        <f>'$$xSchpostCouncil 22'!Y26/'$$xSchpostCouncil 22'!Y$123</f>
        <v>0</v>
      </c>
      <c r="Z26" s="43">
        <f>'$$xSchpostCouncil 22'!Z26/'$$xSchpostCouncil 22'!Z$123</f>
        <v>0</v>
      </c>
      <c r="AA26" s="43">
        <f>'$$xSchpostCouncil 22'!AA26/'$$xSchpostCouncil 22'!AA$123</f>
        <v>0</v>
      </c>
      <c r="AB26" s="43">
        <f>'$$xSchpostCouncil 22'!AB26/'$$xSchpostCouncil 22'!AB$123</f>
        <v>0</v>
      </c>
      <c r="AC26" s="6"/>
      <c r="AD26" s="6">
        <v>136723</v>
      </c>
      <c r="AE26" s="43">
        <f>'$$xSchpostCouncil 22'!AE26/'$$xSchpostCouncil 22'!AE$123</f>
        <v>1</v>
      </c>
      <c r="AF26" s="43">
        <f>'$$xSchpostCouncil 22'!AF26/'$$xSchpostCouncil 22'!AF$123</f>
        <v>1</v>
      </c>
      <c r="AG26" s="43">
        <f>'$$xSchpostCouncil 22'!AG26/'$$xSchpostCouncil 22'!AG$123</f>
        <v>4</v>
      </c>
      <c r="AH26" s="43">
        <f>'$$xSchpostCouncil 22'!AH26/'$$xSchpostCouncil 22'!AH$123</f>
        <v>0</v>
      </c>
      <c r="AI26" s="43">
        <f>'$$xSchpostCouncil 22'!AI26/'$$xSchpostCouncil 22'!AI$123</f>
        <v>0</v>
      </c>
      <c r="AJ26" s="43"/>
      <c r="AK26" s="43">
        <f>'$$xSchpostCouncil 22'!AK26/'$$xSchpostCouncil 22'!AK$123</f>
        <v>0</v>
      </c>
      <c r="AL26" s="43">
        <f>'$$xSchpostCouncil 22'!AL26/'$$xSchpostCouncil 22'!AL$123</f>
        <v>0</v>
      </c>
      <c r="AM26" s="6"/>
      <c r="AN26" s="6"/>
      <c r="AO26" s="43">
        <f>'$$xSchpostCouncil 22'!AO26/'$$xSchpostCouncil 22'!AO$123</f>
        <v>1</v>
      </c>
      <c r="AP26" s="43">
        <f>'$$xSchpostCouncil 22'!AP26/'$$xSchpostCouncil 22'!AP$123</f>
        <v>0</v>
      </c>
      <c r="AQ26" s="43">
        <f>'$$xSchpostCouncil 22'!AQ26/'$$xSchpostCouncil 22'!AQ$123</f>
        <v>0</v>
      </c>
      <c r="AR26" s="6"/>
      <c r="AS26" s="6"/>
      <c r="AT26" s="6"/>
      <c r="AU26" s="6"/>
      <c r="AV26" s="6"/>
      <c r="AW26" s="6">
        <v>0</v>
      </c>
      <c r="AX26" s="6"/>
      <c r="AY26" s="6"/>
      <c r="AZ26" s="6">
        <v>0</v>
      </c>
      <c r="BA26" s="6"/>
      <c r="BB26" s="6">
        <v>8875</v>
      </c>
      <c r="BC26" s="43">
        <f>'$$xSchpostCouncil 22'!BC26/'$$xSchpostCouncil 22'!BC$123</f>
        <v>0</v>
      </c>
      <c r="BD26" s="43">
        <f>'$$xSchpostCouncil 22'!BD26/'$$xSchpostCouncil 22'!BD$123</f>
        <v>0</v>
      </c>
      <c r="BE26" s="6"/>
      <c r="BF26" s="6"/>
      <c r="BG26" s="6"/>
      <c r="BH26" s="43">
        <f>'$$xSchpostCouncil 22'!BH26/'$$xSchpostCouncil 22'!BH$123</f>
        <v>0</v>
      </c>
      <c r="BI26" s="6"/>
      <c r="BJ26" s="43">
        <f>'$$xSchpostCouncil 22'!BJ26/'$$xSchpostCouncil 22'!BJ$123</f>
        <v>0</v>
      </c>
      <c r="BK26" s="6"/>
      <c r="BL26" s="43">
        <f>'$$xSchpostCouncil 22'!BL26/'$$xSchpostCouncil 22'!BL$123</f>
        <v>0</v>
      </c>
      <c r="BM26" s="6"/>
      <c r="BN26" s="43">
        <f>'$$xSchpostCouncil 22'!BN26/'$$xSchpostCouncil 22'!BN$123</f>
        <v>0</v>
      </c>
      <c r="BO26" s="43">
        <f>'$$xSchpostCouncil 22'!BO26/'$$xSchpostCouncil 22'!BO$123</f>
        <v>0</v>
      </c>
      <c r="BP26" s="6"/>
      <c r="BQ26" s="6"/>
      <c r="BR26" s="6"/>
      <c r="BS26" s="6"/>
      <c r="BT26" s="6"/>
      <c r="BU26" s="43">
        <f>'$$xSchpostCouncil 22'!BU26/'$$xSchpostCouncil 22'!BU$123</f>
        <v>0</v>
      </c>
      <c r="BV26" s="43">
        <f>'$$xSchpostCouncil 22'!BV26/'$$xSchpostCouncil 22'!BV$123</f>
        <v>0</v>
      </c>
      <c r="BW26" s="43">
        <f>'$$xSchpostCouncil 22'!BW26/'$$xSchpostCouncil 22'!BW$123</f>
        <v>0</v>
      </c>
      <c r="BX26" s="6">
        <v>169612</v>
      </c>
      <c r="BY26" s="6"/>
      <c r="BZ26" s="6"/>
      <c r="CA26" s="6"/>
      <c r="CB26" s="6"/>
      <c r="CC26" s="6"/>
      <c r="CD26" s="6"/>
      <c r="CE26" s="6"/>
      <c r="CF26" s="6">
        <v>116131</v>
      </c>
      <c r="CI26" s="43">
        <f>'$$xSchpostCouncil 22'!CI26/'$$xSchpostCouncil 22'!CI$123</f>
        <v>1</v>
      </c>
      <c r="CJ26" s="43">
        <f>'$$xSchpostCouncil 22'!CJ26/'$$xSchpostCouncil 22'!CJ$123</f>
        <v>0.20000127771850584</v>
      </c>
      <c r="CK26" s="43">
        <f>'$$xSchpostCouncil 22'!CK26/'$$xSchpostCouncil 22'!CK$123</f>
        <v>1</v>
      </c>
      <c r="CL26" s="43">
        <f>'$$xSchpostCouncil 22'!CL26/'$$xSchpostCouncil 22'!CL$123</f>
        <v>0</v>
      </c>
      <c r="CM26" s="43">
        <f>'$$xSchpostCouncil 22'!CM26/'$$xSchpostCouncil 22'!CM$123</f>
        <v>0</v>
      </c>
      <c r="CN26" s="43">
        <f>'$$xSchpostCouncil 22'!CN26/'$$xSchpostCouncil 22'!CN$123</f>
        <v>0</v>
      </c>
      <c r="CO26" s="43">
        <f>'$$xSchpostCouncil 22'!CO26/'$$xSchpostCouncil 22'!CO$123</f>
        <v>3</v>
      </c>
      <c r="CP26" s="43">
        <f>'$$xSchpostCouncil 22'!CP26/'$$xSchpostCouncil 22'!CP$123</f>
        <v>2</v>
      </c>
      <c r="CQ26" s="43">
        <f>'$$xSchpostCouncil 22'!CQ26/'$$xSchpostCouncil 22'!CQ$123</f>
        <v>14.200001776688076</v>
      </c>
      <c r="CR26" s="43">
        <f>'$$xSchpostCouncil 22'!CR26/'$$xSchpostCouncil 22'!CR$123</f>
        <v>2</v>
      </c>
      <c r="CS26" s="6">
        <v>23000</v>
      </c>
      <c r="CT26" s="6"/>
      <c r="CU26" s="6">
        <v>100000</v>
      </c>
      <c r="CV26" s="43">
        <f>'$$xSchpostCouncil 22'!CV26/'$$xSchpostCouncil 22'!CV$123</f>
        <v>0</v>
      </c>
      <c r="CW26" s="43">
        <f>'$$xSchpostCouncil 22'!CW26/'$$xSchpostCouncil 22'!CW$123</f>
        <v>0</v>
      </c>
      <c r="CX26" s="6">
        <v>0</v>
      </c>
      <c r="CY26" s="6"/>
      <c r="CZ26" s="6"/>
      <c r="DB26" s="43">
        <f>'$$xSchpostCouncil 22'!DB26/'$$xSchpostCouncil 22'!DB$123</f>
        <v>0</v>
      </c>
      <c r="DC26" s="43">
        <f>'$$xSchpostCouncil 22'!DC26/'$$xSchpostCouncil 22'!DC$123</f>
        <v>0</v>
      </c>
      <c r="DF26" s="43">
        <f>'$$xSchpostCouncil 22'!DF26/'$$xSchpostCouncil 22'!DF$123</f>
        <v>0</v>
      </c>
      <c r="DG26" s="43">
        <f>'$$xSchpostCouncil 22'!DG26/'$$xSchpostCouncil 22'!DG$123</f>
        <v>0</v>
      </c>
      <c r="DH26" s="43">
        <f>'$$xSchpostCouncil 22'!DH26/'$$xSchpostCouncil 22'!DH$123</f>
        <v>0</v>
      </c>
      <c r="DI26" s="43">
        <f>'$$xSchpostCouncil 22'!DI26/'$$xSchpostCouncil 22'!DI$123</f>
        <v>0</v>
      </c>
      <c r="DJ26" s="43">
        <f>'$$xSchpostCouncil 22'!DJ26/'$$xSchpostCouncil 22'!DJ$123</f>
        <v>0</v>
      </c>
      <c r="DK26" s="43">
        <f>'$$xSchpostCouncil 22'!DK26/'$$xSchpostCouncil 22'!DK$123</f>
        <v>0</v>
      </c>
      <c r="DL26" s="6"/>
      <c r="DM26" s="6"/>
      <c r="DN26" s="43">
        <f>'$$xSchpostCouncil 22'!DN26/'$$xSchpostCouncil 22'!DN$123</f>
        <v>0</v>
      </c>
      <c r="DO26" s="6"/>
      <c r="DP26" s="6">
        <v>8550</v>
      </c>
      <c r="DU26" s="6">
        <f>VLOOKUP($A26,[3]Totals!$B$2:$K$119,10,FALSE)</f>
        <v>35038.51</v>
      </c>
      <c r="DV26" s="6">
        <f>VLOOKUP($A26,[3]Totals!$B$2:$K$119,9,FALSE)</f>
        <v>0</v>
      </c>
    </row>
    <row r="27" spans="1:126" x14ac:dyDescent="0.2">
      <c r="A27" s="3">
        <v>454</v>
      </c>
      <c r="B27" s="2" t="s">
        <v>103</v>
      </c>
      <c r="C27" t="s">
        <v>100</v>
      </c>
      <c r="D27">
        <v>1</v>
      </c>
      <c r="E27" s="1">
        <v>640</v>
      </c>
      <c r="F27" s="4">
        <v>0.79400000000000004</v>
      </c>
      <c r="G27">
        <v>508</v>
      </c>
      <c r="H27" s="43">
        <f>'$$xSchpostCouncil 22'!H27/'$$xSchpostCouncil 22'!H$123</f>
        <v>1</v>
      </c>
      <c r="I27" s="43">
        <f>'$$xSchpostCouncil 22'!I27/'$$xSchpostCouncil 22'!I$123</f>
        <v>1</v>
      </c>
      <c r="J27" s="43">
        <f>'$$xSchpostCouncil 22'!J27/'$$xSchpostCouncil 22'!J$123</f>
        <v>2</v>
      </c>
      <c r="K27" s="43">
        <f>'$$xSchpostCouncil 22'!K27/'$$xSchpostCouncil 22'!K$123</f>
        <v>1</v>
      </c>
      <c r="L27" s="6">
        <v>17336</v>
      </c>
      <c r="M27" s="43">
        <f>'$$xSchpostCouncil 22'!M27/'$$xSchpostCouncil 22'!M$123</f>
        <v>1</v>
      </c>
      <c r="N27" s="43">
        <f>'$$xSchpostCouncil 22'!N27/'$$xSchpostCouncil 22'!N$123</f>
        <v>1</v>
      </c>
      <c r="O27" s="43">
        <f>'$$xSchpostCouncil 22'!O27/'$$xSchpostCouncil 22'!O$123</f>
        <v>8</v>
      </c>
      <c r="P27" s="43">
        <f>'$$xSchpostCouncil 22'!P27/'$$xSchpostCouncil 22'!P$123</f>
        <v>1</v>
      </c>
      <c r="Q27" s="43">
        <f>'$$xSchpostCouncil 22'!Q27/'$$xSchpostCouncil 22'!Q$123</f>
        <v>0</v>
      </c>
      <c r="R27" s="43">
        <f>'$$xSchpostCouncil 22'!R27/'$$xSchpostCouncil 22'!R$123</f>
        <v>0</v>
      </c>
      <c r="S27" s="43">
        <f>'$$xSchpostCouncil 22'!S27/'$$xSchpostCouncil 22'!S$123</f>
        <v>0</v>
      </c>
      <c r="T27" s="43">
        <f>'$$xSchpostCouncil 22'!T27/'$$xSchpostCouncil 22'!T$123</f>
        <v>0</v>
      </c>
      <c r="U27" s="6"/>
      <c r="V27" s="6"/>
      <c r="W27" s="6"/>
      <c r="X27" s="6"/>
      <c r="Y27" s="43">
        <f>'$$xSchpostCouncil 22'!Y27/'$$xSchpostCouncil 22'!Y$123</f>
        <v>0</v>
      </c>
      <c r="Z27" s="43">
        <f>'$$xSchpostCouncil 22'!Z27/'$$xSchpostCouncil 22'!Z$123</f>
        <v>0</v>
      </c>
      <c r="AA27" s="43">
        <f>'$$xSchpostCouncil 22'!AA27/'$$xSchpostCouncil 22'!AA$123</f>
        <v>2</v>
      </c>
      <c r="AB27" s="43">
        <f>'$$xSchpostCouncil 22'!AB27/'$$xSchpostCouncil 22'!AB$123</f>
        <v>0</v>
      </c>
      <c r="AC27" s="6"/>
      <c r="AD27" s="6">
        <v>317711</v>
      </c>
      <c r="AE27" s="43">
        <f>'$$xSchpostCouncil 22'!AE27/'$$xSchpostCouncil 22'!AE$123</f>
        <v>1</v>
      </c>
      <c r="AF27" s="43">
        <f>'$$xSchpostCouncil 22'!AF27/'$$xSchpostCouncil 22'!AF$123</f>
        <v>5</v>
      </c>
      <c r="AG27" s="43">
        <f>'$$xSchpostCouncil 22'!AG27/'$$xSchpostCouncil 22'!AG$123</f>
        <v>22</v>
      </c>
      <c r="AH27" s="43">
        <f>'$$xSchpostCouncil 22'!AH27/'$$xSchpostCouncil 22'!AH$123</f>
        <v>0</v>
      </c>
      <c r="AI27" s="43">
        <f>'$$xSchpostCouncil 22'!AI27/'$$xSchpostCouncil 22'!AI$123</f>
        <v>13</v>
      </c>
      <c r="AJ27" s="43"/>
      <c r="AK27" s="43">
        <f>'$$xSchpostCouncil 22'!AK27/'$$xSchpostCouncil 22'!AK$123</f>
        <v>2</v>
      </c>
      <c r="AL27" s="43">
        <f>'$$xSchpostCouncil 22'!AL27/'$$xSchpostCouncil 22'!AL$123</f>
        <v>0</v>
      </c>
      <c r="AM27" s="6"/>
      <c r="AN27" s="6"/>
      <c r="AO27" s="43">
        <f>'$$xSchpostCouncil 22'!AO27/'$$xSchpostCouncil 22'!AO$123</f>
        <v>13</v>
      </c>
      <c r="AP27" s="43">
        <f>'$$xSchpostCouncil 22'!AP27/'$$xSchpostCouncil 22'!AP$123</f>
        <v>0</v>
      </c>
      <c r="AQ27" s="43">
        <f>'$$xSchpostCouncil 22'!AQ27/'$$xSchpostCouncil 22'!AQ$123</f>
        <v>0</v>
      </c>
      <c r="AR27" s="6"/>
      <c r="AS27" s="6"/>
      <c r="AT27" s="6"/>
      <c r="AU27" s="6"/>
      <c r="AV27" s="6">
        <v>65000</v>
      </c>
      <c r="AW27" s="6">
        <v>0</v>
      </c>
      <c r="AX27" s="6"/>
      <c r="AY27" s="6"/>
      <c r="AZ27" s="6">
        <v>500376.55000000005</v>
      </c>
      <c r="BA27" s="6"/>
      <c r="BB27" s="6"/>
      <c r="BC27" s="43">
        <f>'$$xSchpostCouncil 22'!BC27/'$$xSchpostCouncil 22'!BC$123</f>
        <v>0</v>
      </c>
      <c r="BD27" s="43">
        <f>'$$xSchpostCouncil 22'!BD27/'$$xSchpostCouncil 22'!BD$123</f>
        <v>1</v>
      </c>
      <c r="BE27" s="6">
        <v>14216</v>
      </c>
      <c r="BF27" s="6">
        <v>11000</v>
      </c>
      <c r="BG27" s="6">
        <v>32000</v>
      </c>
      <c r="BH27" s="43">
        <f>'$$xSchpostCouncil 22'!BH27/'$$xSchpostCouncil 22'!BH$123</f>
        <v>0</v>
      </c>
      <c r="BI27" s="6"/>
      <c r="BJ27" s="43">
        <f>'$$xSchpostCouncil 22'!BJ27/'$$xSchpostCouncil 22'!BJ$123</f>
        <v>0</v>
      </c>
      <c r="BK27" s="6"/>
      <c r="BL27" s="43">
        <f>'$$xSchpostCouncil 22'!BL27/'$$xSchpostCouncil 22'!BL$123</f>
        <v>0</v>
      </c>
      <c r="BM27" s="6"/>
      <c r="BN27" s="43">
        <f>'$$xSchpostCouncil 22'!BN27/'$$xSchpostCouncil 22'!BN$123</f>
        <v>1</v>
      </c>
      <c r="BO27" s="43">
        <f>'$$xSchpostCouncil 22'!BO27/'$$xSchpostCouncil 22'!BO$123</f>
        <v>0</v>
      </c>
      <c r="BP27" s="6">
        <v>113946</v>
      </c>
      <c r="BQ27" s="6">
        <v>5000</v>
      </c>
      <c r="BR27" s="6"/>
      <c r="BS27" s="6"/>
      <c r="BT27" s="6"/>
      <c r="BU27" s="43">
        <f>'$$xSchpostCouncil 22'!BU27/'$$xSchpostCouncil 22'!BU$123</f>
        <v>2.6315789473684209E-2</v>
      </c>
      <c r="BV27" s="43">
        <f>'$$xSchpostCouncil 22'!BV27/'$$xSchpostCouncil 22'!BV$123</f>
        <v>0</v>
      </c>
      <c r="BW27" s="43">
        <f>'$$xSchpostCouncil 22'!BW27/'$$xSchpostCouncil 22'!BW$123</f>
        <v>0</v>
      </c>
      <c r="BX27" s="6">
        <v>1425811</v>
      </c>
      <c r="BY27" s="6"/>
      <c r="BZ27" s="6"/>
      <c r="CA27" s="6"/>
      <c r="CB27" s="6"/>
      <c r="CC27" s="6">
        <v>1207628</v>
      </c>
      <c r="CD27" s="6"/>
      <c r="CE27" s="6"/>
      <c r="CF27" s="6">
        <v>225137</v>
      </c>
      <c r="CI27" s="43">
        <f>'$$xSchpostCouncil 22'!CI27/'$$xSchpostCouncil 22'!CI$123</f>
        <v>1</v>
      </c>
      <c r="CJ27" s="43">
        <f>'$$xSchpostCouncil 22'!CJ27/'$$xSchpostCouncil 22'!CJ$123</f>
        <v>2.1000006388592527</v>
      </c>
      <c r="CK27" s="43">
        <f>'$$xSchpostCouncil 22'!CK27/'$$xSchpostCouncil 22'!CK$123</f>
        <v>1</v>
      </c>
      <c r="CL27" s="43">
        <f>'$$xSchpostCouncil 22'!CL27/'$$xSchpostCouncil 22'!CL$123</f>
        <v>1.5999921009498608</v>
      </c>
      <c r="CM27" s="43">
        <f>'$$xSchpostCouncil 22'!CM27/'$$xSchpostCouncil 22'!CM$123</f>
        <v>1</v>
      </c>
      <c r="CN27" s="43">
        <f>'$$xSchpostCouncil 22'!CN27/'$$xSchpostCouncil 22'!CN$123</f>
        <v>1</v>
      </c>
      <c r="CO27" s="43">
        <f>'$$xSchpostCouncil 22'!CO27/'$$xSchpostCouncil 22'!CO$123</f>
        <v>0</v>
      </c>
      <c r="CP27" s="43">
        <f>'$$xSchpostCouncil 22'!CP27/'$$xSchpostCouncil 22'!CP$123</f>
        <v>0</v>
      </c>
      <c r="CQ27" s="43">
        <f>'$$xSchpostCouncil 22'!CQ27/'$$xSchpostCouncil 22'!CQ$123</f>
        <v>26.666670220042821</v>
      </c>
      <c r="CR27" s="43">
        <f>'$$xSchpostCouncil 22'!CR27/'$$xSchpostCouncil 22'!CR$123</f>
        <v>2</v>
      </c>
      <c r="CS27" s="6">
        <v>23000</v>
      </c>
      <c r="CT27" s="6">
        <v>5000</v>
      </c>
      <c r="CU27" s="6">
        <v>100000</v>
      </c>
      <c r="CV27" s="43">
        <f>'$$xSchpostCouncil 22'!CV27/'$$xSchpostCouncil 22'!CV$123</f>
        <v>1</v>
      </c>
      <c r="CW27" s="43">
        <f>'$$xSchpostCouncil 22'!CW27/'$$xSchpostCouncil 22'!CW$123</f>
        <v>0</v>
      </c>
      <c r="CX27" s="6">
        <v>0</v>
      </c>
      <c r="CY27" s="6">
        <v>75000</v>
      </c>
      <c r="CZ27" s="6"/>
      <c r="DB27" s="43">
        <f>'$$xSchpostCouncil 22'!DB27/'$$xSchpostCouncil 22'!DB$123</f>
        <v>0</v>
      </c>
      <c r="DC27" s="43">
        <f>'$$xSchpostCouncil 22'!DC27/'$$xSchpostCouncil 22'!DC$123</f>
        <v>2</v>
      </c>
      <c r="DF27" s="43">
        <f>'$$xSchpostCouncil 22'!DF27/'$$xSchpostCouncil 22'!DF$123</f>
        <v>0</v>
      </c>
      <c r="DG27" s="43">
        <f>'$$xSchpostCouncil 22'!DG27/'$$xSchpostCouncil 22'!DG$123</f>
        <v>0</v>
      </c>
      <c r="DH27" s="43">
        <f>'$$xSchpostCouncil 22'!DH27/'$$xSchpostCouncil 22'!DH$123</f>
        <v>5.7333333333333307</v>
      </c>
      <c r="DI27" s="43">
        <f>'$$xSchpostCouncil 22'!DI27/'$$xSchpostCouncil 22'!DI$123</f>
        <v>1</v>
      </c>
      <c r="DJ27" s="43">
        <f>'$$xSchpostCouncil 22'!DJ27/'$$xSchpostCouncil 22'!DJ$123</f>
        <v>0</v>
      </c>
      <c r="DK27" s="43">
        <f>'$$xSchpostCouncil 22'!DK27/'$$xSchpostCouncil 22'!DK$123</f>
        <v>0</v>
      </c>
      <c r="DL27" s="6">
        <v>20358</v>
      </c>
      <c r="DM27" s="6"/>
      <c r="DN27" s="43">
        <f>'$$xSchpostCouncil 22'!DN27/'$$xSchpostCouncil 22'!DN$123</f>
        <v>1</v>
      </c>
      <c r="DO27" s="6"/>
      <c r="DP27" s="6">
        <v>58125</v>
      </c>
      <c r="DU27" s="6">
        <f>VLOOKUP($A27,[3]Totals!$B$2:$K$119,10,FALSE)</f>
        <v>261511.39</v>
      </c>
      <c r="DV27" s="6">
        <f>VLOOKUP($A27,[3]Totals!$B$2:$K$119,9,FALSE)</f>
        <v>426169</v>
      </c>
    </row>
    <row r="28" spans="1:126" x14ac:dyDescent="0.2">
      <c r="A28" s="3">
        <v>224</v>
      </c>
      <c r="B28" s="2" t="s">
        <v>102</v>
      </c>
      <c r="C28" t="s">
        <v>7</v>
      </c>
      <c r="D28">
        <v>1</v>
      </c>
      <c r="E28" s="1">
        <v>300</v>
      </c>
      <c r="F28" s="4">
        <v>0.437</v>
      </c>
      <c r="G28">
        <v>131</v>
      </c>
      <c r="H28" s="43">
        <f>'$$xSchpostCouncil 22'!H28/'$$xSchpostCouncil 22'!H$123</f>
        <v>1</v>
      </c>
      <c r="I28" s="43">
        <f>'$$xSchpostCouncil 22'!I28/'$$xSchpostCouncil 22'!I$123</f>
        <v>0</v>
      </c>
      <c r="J28" s="43">
        <f>'$$xSchpostCouncil 22'!J28/'$$xSchpostCouncil 22'!J$123</f>
        <v>0</v>
      </c>
      <c r="K28" s="43">
        <f>'$$xSchpostCouncil 22'!K28/'$$xSchpostCouncil 22'!K$123</f>
        <v>1</v>
      </c>
      <c r="L28" s="6">
        <v>4806</v>
      </c>
      <c r="M28" s="43">
        <f>'$$xSchpostCouncil 22'!M28/'$$xSchpostCouncil 22'!M$123</f>
        <v>1</v>
      </c>
      <c r="N28" s="43">
        <f>'$$xSchpostCouncil 22'!N28/'$$xSchpostCouncil 22'!N$123</f>
        <v>1</v>
      </c>
      <c r="O28" s="43">
        <f>'$$xSchpostCouncil 22'!O28/'$$xSchpostCouncil 22'!O$123</f>
        <v>2</v>
      </c>
      <c r="P28" s="43">
        <f>'$$xSchpostCouncil 22'!P28/'$$xSchpostCouncil 22'!P$123</f>
        <v>1</v>
      </c>
      <c r="Q28" s="43">
        <f>'$$xSchpostCouncil 22'!Q28/'$$xSchpostCouncil 22'!Q$123</f>
        <v>2</v>
      </c>
      <c r="R28" s="43">
        <f>'$$xSchpostCouncil 22'!R28/'$$xSchpostCouncil 22'!R$123</f>
        <v>1</v>
      </c>
      <c r="S28" s="43">
        <f>'$$xSchpostCouncil 22'!S28/'$$xSchpostCouncil 22'!S$123</f>
        <v>2</v>
      </c>
      <c r="T28" s="43">
        <f>'$$xSchpostCouncil 22'!T28/'$$xSchpostCouncil 22'!T$123</f>
        <v>5</v>
      </c>
      <c r="U28" s="6"/>
      <c r="V28" s="6"/>
      <c r="W28" s="6"/>
      <c r="X28" s="6"/>
      <c r="Y28" s="43">
        <f>'$$xSchpostCouncil 22'!Y28/'$$xSchpostCouncil 22'!Y$123</f>
        <v>0</v>
      </c>
      <c r="Z28" s="43">
        <f>'$$xSchpostCouncil 22'!Z28/'$$xSchpostCouncil 22'!Z$123</f>
        <v>0</v>
      </c>
      <c r="AA28" s="43">
        <f>'$$xSchpostCouncil 22'!AA28/'$$xSchpostCouncil 22'!AA$123</f>
        <v>0</v>
      </c>
      <c r="AB28" s="43">
        <f>'$$xSchpostCouncil 22'!AB28/'$$xSchpostCouncil 22'!AB$123</f>
        <v>0</v>
      </c>
      <c r="AC28" s="6"/>
      <c r="AD28" s="6">
        <v>117150</v>
      </c>
      <c r="AE28" s="43">
        <f>'$$xSchpostCouncil 22'!AE28/'$$xSchpostCouncil 22'!AE$123</f>
        <v>1</v>
      </c>
      <c r="AF28" s="43">
        <f>'$$xSchpostCouncil 22'!AF28/'$$xSchpostCouncil 22'!AF$123</f>
        <v>1</v>
      </c>
      <c r="AG28" s="43">
        <f>'$$xSchpostCouncil 22'!AG28/'$$xSchpostCouncil 22'!AG$123</f>
        <v>4</v>
      </c>
      <c r="AH28" s="43">
        <f>'$$xSchpostCouncil 22'!AH28/'$$xSchpostCouncil 22'!AH$123</f>
        <v>0</v>
      </c>
      <c r="AI28" s="43">
        <f>'$$xSchpostCouncil 22'!AI28/'$$xSchpostCouncil 22'!AI$123</f>
        <v>0</v>
      </c>
      <c r="AJ28" s="43"/>
      <c r="AK28" s="43">
        <f>'$$xSchpostCouncil 22'!AK28/'$$xSchpostCouncil 22'!AK$123</f>
        <v>0</v>
      </c>
      <c r="AL28" s="43">
        <f>'$$xSchpostCouncil 22'!AL28/'$$xSchpostCouncil 22'!AL$123</f>
        <v>0</v>
      </c>
      <c r="AM28" s="6"/>
      <c r="AN28" s="6"/>
      <c r="AO28" s="43">
        <f>'$$xSchpostCouncil 22'!AO28/'$$xSchpostCouncil 22'!AO$123</f>
        <v>3</v>
      </c>
      <c r="AP28" s="43">
        <f>'$$xSchpostCouncil 22'!AP28/'$$xSchpostCouncil 22'!AP$123</f>
        <v>0</v>
      </c>
      <c r="AQ28" s="43">
        <f>'$$xSchpostCouncil 22'!AQ28/'$$xSchpostCouncil 22'!AQ$123</f>
        <v>0</v>
      </c>
      <c r="AR28" s="6"/>
      <c r="AS28" s="6">
        <f>40800-20400</f>
        <v>20400</v>
      </c>
      <c r="AT28" s="6">
        <f>40800-20400</f>
        <v>20400</v>
      </c>
      <c r="AU28" s="6">
        <v>10200</v>
      </c>
      <c r="AV28" s="6"/>
      <c r="AW28" s="6">
        <v>40800</v>
      </c>
      <c r="AX28" s="6"/>
      <c r="AY28" s="6"/>
      <c r="AZ28" s="6">
        <v>136027.87</v>
      </c>
      <c r="BA28" s="6"/>
      <c r="BB28" s="6"/>
      <c r="BC28" s="43">
        <f>'$$xSchpostCouncil 22'!BC28/'$$xSchpostCouncil 22'!BC$123</f>
        <v>0</v>
      </c>
      <c r="BD28" s="43">
        <f>'$$xSchpostCouncil 22'!BD28/'$$xSchpostCouncil 22'!BD$123</f>
        <v>0</v>
      </c>
      <c r="BE28" s="6"/>
      <c r="BF28" s="6"/>
      <c r="BG28" s="6"/>
      <c r="BH28" s="43">
        <f>'$$xSchpostCouncil 22'!BH28/'$$xSchpostCouncil 22'!BH$123</f>
        <v>0</v>
      </c>
      <c r="BI28" s="6"/>
      <c r="BJ28" s="43">
        <f>'$$xSchpostCouncil 22'!BJ28/'$$xSchpostCouncil 22'!BJ$123</f>
        <v>0</v>
      </c>
      <c r="BK28" s="6"/>
      <c r="BL28" s="43">
        <f>'$$xSchpostCouncil 22'!BL28/'$$xSchpostCouncil 22'!BL$123</f>
        <v>0</v>
      </c>
      <c r="BM28" s="6"/>
      <c r="BN28" s="43">
        <f>'$$xSchpostCouncil 22'!BN28/'$$xSchpostCouncil 22'!BN$123</f>
        <v>0</v>
      </c>
      <c r="BO28" s="43">
        <f>'$$xSchpostCouncil 22'!BO28/'$$xSchpostCouncil 22'!BO$123</f>
        <v>0</v>
      </c>
      <c r="BP28" s="6"/>
      <c r="BQ28" s="6"/>
      <c r="BR28" s="6"/>
      <c r="BS28" s="6"/>
      <c r="BT28" s="6"/>
      <c r="BU28" s="43">
        <f>'$$xSchpostCouncil 22'!BU28/'$$xSchpostCouncil 22'!BU$123</f>
        <v>0</v>
      </c>
      <c r="BV28" s="43">
        <f>'$$xSchpostCouncil 22'!BV28/'$$xSchpostCouncil 22'!BV$123</f>
        <v>0</v>
      </c>
      <c r="BW28" s="43">
        <f>'$$xSchpostCouncil 22'!BW28/'$$xSchpostCouncil 22'!BW$123</f>
        <v>0</v>
      </c>
      <c r="BX28" s="6">
        <v>331629</v>
      </c>
      <c r="BY28" s="6"/>
      <c r="BZ28" s="6"/>
      <c r="CA28" s="6"/>
      <c r="CB28" s="6"/>
      <c r="CC28" s="6">
        <v>208304</v>
      </c>
      <c r="CD28" s="6"/>
      <c r="CE28" s="6"/>
      <c r="CF28" s="6">
        <v>56285</v>
      </c>
      <c r="CI28" s="43">
        <f>'$$xSchpostCouncil 22'!CI28/'$$xSchpostCouncil 22'!CI$123</f>
        <v>1</v>
      </c>
      <c r="CJ28" s="43">
        <f>'$$xSchpostCouncil 22'!CJ28/'$$xSchpostCouncil 22'!CJ$123</f>
        <v>0.79999872228149416</v>
      </c>
      <c r="CK28" s="43">
        <f>'$$xSchpostCouncil 22'!CK28/'$$xSchpostCouncil 22'!CK$123</f>
        <v>1</v>
      </c>
      <c r="CL28" s="43">
        <f>'$$xSchpostCouncil 22'!CL28/'$$xSchpostCouncil 22'!CL$123</f>
        <v>0</v>
      </c>
      <c r="CM28" s="43">
        <f>'$$xSchpostCouncil 22'!CM28/'$$xSchpostCouncil 22'!CM$123</f>
        <v>0</v>
      </c>
      <c r="CN28" s="43">
        <f>'$$xSchpostCouncil 22'!CN28/'$$xSchpostCouncil 22'!CN$123</f>
        <v>0</v>
      </c>
      <c r="CO28" s="43">
        <f>'$$xSchpostCouncil 22'!CO28/'$$xSchpostCouncil 22'!CO$123</f>
        <v>3</v>
      </c>
      <c r="CP28" s="43">
        <f>'$$xSchpostCouncil 22'!CP28/'$$xSchpostCouncil 22'!CP$123</f>
        <v>2</v>
      </c>
      <c r="CQ28" s="43">
        <f>'$$xSchpostCouncil 22'!CQ28/'$$xSchpostCouncil 22'!CQ$123</f>
        <v>12</v>
      </c>
      <c r="CR28" s="43">
        <f>'$$xSchpostCouncil 22'!CR28/'$$xSchpostCouncil 22'!CR$123</f>
        <v>0</v>
      </c>
      <c r="CS28" s="6"/>
      <c r="CT28" s="6"/>
      <c r="CU28" s="6"/>
      <c r="CV28" s="43">
        <f>'$$xSchpostCouncil 22'!CV28/'$$xSchpostCouncil 22'!CV$123</f>
        <v>0</v>
      </c>
      <c r="CW28" s="43">
        <f>'$$xSchpostCouncil 22'!CW28/'$$xSchpostCouncil 22'!CW$123</f>
        <v>0</v>
      </c>
      <c r="CX28" s="6">
        <v>0</v>
      </c>
      <c r="CY28" s="6"/>
      <c r="CZ28" s="6"/>
      <c r="DB28" s="43">
        <f>'$$xSchpostCouncil 22'!DB28/'$$xSchpostCouncil 22'!DB$123</f>
        <v>0</v>
      </c>
      <c r="DC28" s="43">
        <f>'$$xSchpostCouncil 22'!DC28/'$$xSchpostCouncil 22'!DC$123</f>
        <v>0</v>
      </c>
      <c r="DF28" s="43">
        <f>'$$xSchpostCouncil 22'!DF28/'$$xSchpostCouncil 22'!DF$123</f>
        <v>0</v>
      </c>
      <c r="DG28" s="43">
        <f>'$$xSchpostCouncil 22'!DG28/'$$xSchpostCouncil 22'!DG$123</f>
        <v>1.5000044417201894</v>
      </c>
      <c r="DH28" s="43">
        <f>'$$xSchpostCouncil 22'!DH28/'$$xSchpostCouncil 22'!DH$123</f>
        <v>0</v>
      </c>
      <c r="DI28" s="43">
        <f>'$$xSchpostCouncil 22'!DI28/'$$xSchpostCouncil 22'!DI$123</f>
        <v>0</v>
      </c>
      <c r="DJ28" s="43">
        <f>'$$xSchpostCouncil 22'!DJ28/'$$xSchpostCouncil 22'!DJ$123</f>
        <v>0</v>
      </c>
      <c r="DK28" s="43">
        <f>'$$xSchpostCouncil 22'!DK28/'$$xSchpostCouncil 22'!DK$123</f>
        <v>0</v>
      </c>
      <c r="DL28" s="6">
        <v>2611</v>
      </c>
      <c r="DM28" s="6"/>
      <c r="DN28" s="43">
        <f>'$$xSchpostCouncil 22'!DN28/'$$xSchpostCouncil 22'!DN$123</f>
        <v>0</v>
      </c>
      <c r="DO28" s="6"/>
      <c r="DP28" s="6">
        <v>14575</v>
      </c>
      <c r="DU28" s="6">
        <f>VLOOKUP($A28,[3]Totals!$B$2:$K$119,10,FALSE)</f>
        <v>92286.02</v>
      </c>
      <c r="DV28" s="6">
        <f>VLOOKUP($A28,[3]Totals!$B$2:$K$119,9,FALSE)</f>
        <v>225138</v>
      </c>
    </row>
    <row r="29" spans="1:126" x14ac:dyDescent="0.2">
      <c r="A29" s="3">
        <v>442</v>
      </c>
      <c r="B29" s="2" t="s">
        <v>101</v>
      </c>
      <c r="C29" t="s">
        <v>100</v>
      </c>
      <c r="D29">
        <v>1</v>
      </c>
      <c r="E29" s="1">
        <v>1500</v>
      </c>
      <c r="F29" s="4">
        <v>0.56399999999999995</v>
      </c>
      <c r="G29">
        <v>846</v>
      </c>
      <c r="H29" s="43">
        <f>'$$xSchpostCouncil 22'!H29/'$$xSchpostCouncil 22'!H$123</f>
        <v>1</v>
      </c>
      <c r="I29" s="43">
        <f>'$$xSchpostCouncil 22'!I29/'$$xSchpostCouncil 22'!I$123</f>
        <v>1.3000026650321137</v>
      </c>
      <c r="J29" s="43">
        <f>'$$xSchpostCouncil 22'!J29/'$$xSchpostCouncil 22'!J$123</f>
        <v>4</v>
      </c>
      <c r="K29" s="43">
        <f>'$$xSchpostCouncil 22'!K29/'$$xSchpostCouncil 22'!K$123</f>
        <v>1</v>
      </c>
      <c r="L29" s="6">
        <v>27976</v>
      </c>
      <c r="M29" s="43">
        <f>'$$xSchpostCouncil 22'!M29/'$$xSchpostCouncil 22'!M$123</f>
        <v>1</v>
      </c>
      <c r="N29" s="43">
        <f>'$$xSchpostCouncil 22'!N29/'$$xSchpostCouncil 22'!N$123</f>
        <v>1</v>
      </c>
      <c r="O29" s="43">
        <f>'$$xSchpostCouncil 22'!O29/'$$xSchpostCouncil 22'!O$123</f>
        <v>10</v>
      </c>
      <c r="P29" s="43">
        <f>'$$xSchpostCouncil 22'!P29/'$$xSchpostCouncil 22'!P$123</f>
        <v>1</v>
      </c>
      <c r="Q29" s="43">
        <f>'$$xSchpostCouncil 22'!Q29/'$$xSchpostCouncil 22'!Q$123</f>
        <v>0</v>
      </c>
      <c r="R29" s="43">
        <f>'$$xSchpostCouncil 22'!R29/'$$xSchpostCouncil 22'!R$123</f>
        <v>0</v>
      </c>
      <c r="S29" s="43">
        <f>'$$xSchpostCouncil 22'!S29/'$$xSchpostCouncil 22'!S$123</f>
        <v>0</v>
      </c>
      <c r="T29" s="43">
        <f>'$$xSchpostCouncil 22'!T29/'$$xSchpostCouncil 22'!T$123</f>
        <v>0</v>
      </c>
      <c r="U29" s="6"/>
      <c r="V29" s="6"/>
      <c r="W29" s="6"/>
      <c r="X29" s="6"/>
      <c r="Y29" s="43">
        <f>'$$xSchpostCouncil 22'!Y29/'$$xSchpostCouncil 22'!Y$123</f>
        <v>0</v>
      </c>
      <c r="Z29" s="43">
        <f>'$$xSchpostCouncil 22'!Z29/'$$xSchpostCouncil 22'!Z$123</f>
        <v>0</v>
      </c>
      <c r="AA29" s="43">
        <f>'$$xSchpostCouncil 22'!AA29/'$$xSchpostCouncil 22'!AA$123</f>
        <v>2</v>
      </c>
      <c r="AB29" s="43">
        <f>'$$xSchpostCouncil 22'!AB29/'$$xSchpostCouncil 22'!AB$123</f>
        <v>0</v>
      </c>
      <c r="AC29" s="6"/>
      <c r="AD29" s="6">
        <v>585394</v>
      </c>
      <c r="AE29" s="43">
        <f>'$$xSchpostCouncil 22'!AE29/'$$xSchpostCouncil 22'!AE$123</f>
        <v>3</v>
      </c>
      <c r="AF29" s="43">
        <f>'$$xSchpostCouncil 22'!AF29/'$$xSchpostCouncil 22'!AF$123</f>
        <v>5</v>
      </c>
      <c r="AG29" s="43">
        <f>'$$xSchpostCouncil 22'!AG29/'$$xSchpostCouncil 22'!AG$123</f>
        <v>23</v>
      </c>
      <c r="AH29" s="43">
        <f>'$$xSchpostCouncil 22'!AH29/'$$xSchpostCouncil 22'!AH$123</f>
        <v>0</v>
      </c>
      <c r="AI29" s="43">
        <f>'$$xSchpostCouncil 22'!AI29/'$$xSchpostCouncil 22'!AI$123</f>
        <v>1</v>
      </c>
      <c r="AJ29" s="43"/>
      <c r="AK29" s="43">
        <f>'$$xSchpostCouncil 22'!AK29/'$$xSchpostCouncil 22'!AK$123</f>
        <v>0</v>
      </c>
      <c r="AL29" s="43">
        <f>'$$xSchpostCouncil 22'!AL29/'$$xSchpostCouncil 22'!AL$123</f>
        <v>0</v>
      </c>
      <c r="AM29" s="6"/>
      <c r="AN29" s="6"/>
      <c r="AO29" s="43">
        <f>'$$xSchpostCouncil 22'!AO29/'$$xSchpostCouncil 22'!AO$123</f>
        <v>27</v>
      </c>
      <c r="AP29" s="43">
        <f>'$$xSchpostCouncil 22'!AP29/'$$xSchpostCouncil 22'!AP$123</f>
        <v>0</v>
      </c>
      <c r="AQ29" s="43">
        <f>'$$xSchpostCouncil 22'!AQ29/'$$xSchpostCouncil 22'!AQ$123</f>
        <v>2</v>
      </c>
      <c r="AR29" s="6"/>
      <c r="AS29" s="6"/>
      <c r="AT29" s="6"/>
      <c r="AU29" s="6"/>
      <c r="AV29" s="6">
        <v>80000</v>
      </c>
      <c r="AW29" s="6">
        <v>0</v>
      </c>
      <c r="AX29" s="6"/>
      <c r="AY29" s="6"/>
      <c r="AZ29" s="6">
        <v>520889.36</v>
      </c>
      <c r="BA29" s="6"/>
      <c r="BB29" s="6"/>
      <c r="BC29" s="43">
        <f>'$$xSchpostCouncil 22'!BC29/'$$xSchpostCouncil 22'!BC$123</f>
        <v>0</v>
      </c>
      <c r="BD29" s="43">
        <f>'$$xSchpostCouncil 22'!BD29/'$$xSchpostCouncil 22'!BD$123</f>
        <v>0</v>
      </c>
      <c r="BE29" s="6"/>
      <c r="BF29" s="6"/>
      <c r="BG29" s="6">
        <v>43000</v>
      </c>
      <c r="BH29" s="43">
        <f>'$$xSchpostCouncil 22'!BH29/'$$xSchpostCouncil 22'!BH$123</f>
        <v>0</v>
      </c>
      <c r="BI29" s="6"/>
      <c r="BJ29" s="43">
        <f>'$$xSchpostCouncil 22'!BJ29/'$$xSchpostCouncil 22'!BJ$123</f>
        <v>0</v>
      </c>
      <c r="BK29" s="6"/>
      <c r="BL29" s="43">
        <f>'$$xSchpostCouncil 22'!BL29/'$$xSchpostCouncil 22'!BL$123</f>
        <v>0</v>
      </c>
      <c r="BM29" s="6"/>
      <c r="BN29" s="43">
        <f>'$$xSchpostCouncil 22'!BN29/'$$xSchpostCouncil 22'!BN$123</f>
        <v>0</v>
      </c>
      <c r="BO29" s="43">
        <f>'$$xSchpostCouncil 22'!BO29/'$$xSchpostCouncil 22'!BO$123</f>
        <v>0</v>
      </c>
      <c r="BP29" s="6"/>
      <c r="BQ29" s="6"/>
      <c r="BR29" s="6"/>
      <c r="BS29" s="6">
        <v>360000</v>
      </c>
      <c r="BT29" s="6"/>
      <c r="BU29" s="43">
        <f>'$$xSchpostCouncil 22'!BU29/'$$xSchpostCouncil 22'!BU$123</f>
        <v>5.2631578947368418E-2</v>
      </c>
      <c r="BV29" s="43">
        <f>'$$xSchpostCouncil 22'!BV29/'$$xSchpostCouncil 22'!BV$123</f>
        <v>0</v>
      </c>
      <c r="BW29" s="43">
        <f>'$$xSchpostCouncil 22'!BW29/'$$xSchpostCouncil 22'!BW$123</f>
        <v>0</v>
      </c>
      <c r="BX29" s="6">
        <v>2374479.5</v>
      </c>
      <c r="BY29" s="6"/>
      <c r="BZ29" s="6"/>
      <c r="CA29" s="6"/>
      <c r="CB29" s="6"/>
      <c r="CC29" s="6"/>
      <c r="CD29" s="6"/>
      <c r="CE29" s="6"/>
      <c r="CF29" s="6">
        <v>225138</v>
      </c>
      <c r="CI29" s="43">
        <f>'$$xSchpostCouncil 22'!CI29/'$$xSchpostCouncil 22'!CI$123</f>
        <v>1</v>
      </c>
      <c r="CJ29" s="43">
        <f>'$$xSchpostCouncil 22'!CJ29/'$$xSchpostCouncil 22'!CJ$123</f>
        <v>5</v>
      </c>
      <c r="CK29" s="43">
        <f>'$$xSchpostCouncil 22'!CK29/'$$xSchpostCouncil 22'!CK$123</f>
        <v>1</v>
      </c>
      <c r="CL29" s="43">
        <f>'$$xSchpostCouncil 22'!CL29/'$$xSchpostCouncil 22'!CL$123</f>
        <v>3.7999960504749306</v>
      </c>
      <c r="CM29" s="43">
        <f>'$$xSchpostCouncil 22'!CM29/'$$xSchpostCouncil 22'!CM$123</f>
        <v>1</v>
      </c>
      <c r="CN29" s="43">
        <f>'$$xSchpostCouncil 22'!CN29/'$$xSchpostCouncil 22'!CN$123</f>
        <v>1</v>
      </c>
      <c r="CO29" s="43">
        <f>'$$xSchpostCouncil 22'!CO29/'$$xSchpostCouncil 22'!CO$123</f>
        <v>0</v>
      </c>
      <c r="CP29" s="43">
        <f>'$$xSchpostCouncil 22'!CP29/'$$xSchpostCouncil 22'!CP$123</f>
        <v>0</v>
      </c>
      <c r="CQ29" s="43">
        <f>'$$xSchpostCouncil 22'!CQ29/'$$xSchpostCouncil 22'!CQ$123</f>
        <v>62.500003553376146</v>
      </c>
      <c r="CR29" s="43">
        <f>'$$xSchpostCouncil 22'!CR29/'$$xSchpostCouncil 22'!CR$123</f>
        <v>3</v>
      </c>
      <c r="CS29" s="6">
        <v>23000</v>
      </c>
      <c r="CT29" s="6">
        <v>5000</v>
      </c>
      <c r="CU29" s="6">
        <v>100000</v>
      </c>
      <c r="CV29" s="43">
        <f>'$$xSchpostCouncil 22'!CV29/'$$xSchpostCouncil 22'!CV$123</f>
        <v>1</v>
      </c>
      <c r="CW29" s="43">
        <f>'$$xSchpostCouncil 22'!CW29/'$$xSchpostCouncil 22'!CW$123</f>
        <v>0</v>
      </c>
      <c r="CX29" s="6">
        <v>18706</v>
      </c>
      <c r="CY29" s="6"/>
      <c r="CZ29" s="6"/>
      <c r="DB29" s="43">
        <f>'$$xSchpostCouncil 22'!DB29/'$$xSchpostCouncil 22'!DB$123</f>
        <v>0</v>
      </c>
      <c r="DC29" s="43">
        <f>'$$xSchpostCouncil 22'!DC29/'$$xSchpostCouncil 22'!DC$123</f>
        <v>5</v>
      </c>
      <c r="DF29" s="43">
        <f>'$$xSchpostCouncil 22'!DF29/'$$xSchpostCouncil 22'!DF$123</f>
        <v>0</v>
      </c>
      <c r="DG29" s="43">
        <f>'$$xSchpostCouncil 22'!DG29/'$$xSchpostCouncil 22'!DG$123</f>
        <v>0</v>
      </c>
      <c r="DH29" s="43">
        <f>'$$xSchpostCouncil 22'!DH29/'$$xSchpostCouncil 22'!DH$123</f>
        <v>1.9000000000000057</v>
      </c>
      <c r="DI29" s="43">
        <f>'$$xSchpostCouncil 22'!DI29/'$$xSchpostCouncil 22'!DI$123</f>
        <v>0</v>
      </c>
      <c r="DJ29" s="43">
        <f>'$$xSchpostCouncil 22'!DJ29/'$$xSchpostCouncil 22'!DJ$123</f>
        <v>0</v>
      </c>
      <c r="DK29" s="43">
        <f>'$$xSchpostCouncil 22'!DK29/'$$xSchpostCouncil 22'!DK$123</f>
        <v>0</v>
      </c>
      <c r="DL29" s="6">
        <v>16927</v>
      </c>
      <c r="DM29" s="6"/>
      <c r="DN29" s="43">
        <f>'$$xSchpostCouncil 22'!DN29/'$$xSchpostCouncil 22'!DN$123</f>
        <v>1</v>
      </c>
      <c r="DO29" s="6"/>
      <c r="DP29" s="6">
        <v>67275</v>
      </c>
      <c r="DU29" s="6">
        <f>VLOOKUP($A29,[3]Totals!$B$2:$K$119,10,FALSE)</f>
        <v>569787.63</v>
      </c>
      <c r="DV29" s="6">
        <f>VLOOKUP($A29,[3]Totals!$B$2:$K$119,9,FALSE)</f>
        <v>225138</v>
      </c>
    </row>
    <row r="30" spans="1:126" x14ac:dyDescent="0.2">
      <c r="A30" s="3">
        <v>455</v>
      </c>
      <c r="B30" s="2" t="s">
        <v>99</v>
      </c>
      <c r="C30" t="s">
        <v>1</v>
      </c>
      <c r="D30">
        <v>4</v>
      </c>
      <c r="E30" s="1">
        <v>696</v>
      </c>
      <c r="F30" s="4">
        <v>0.55600000000000005</v>
      </c>
      <c r="G30">
        <v>387</v>
      </c>
      <c r="H30" s="43">
        <f>'$$xSchpostCouncil 22'!H30/'$$xSchpostCouncil 22'!H$123</f>
        <v>1</v>
      </c>
      <c r="I30" s="43">
        <f>'$$xSchpostCouncil 22'!I30/'$$xSchpostCouncil 22'!I$123</f>
        <v>0</v>
      </c>
      <c r="J30" s="43">
        <f>'$$xSchpostCouncil 22'!J30/'$$xSchpostCouncil 22'!J$123</f>
        <v>3</v>
      </c>
      <c r="K30" s="43">
        <f>'$$xSchpostCouncil 22'!K30/'$$xSchpostCouncil 22'!K$123</f>
        <v>1</v>
      </c>
      <c r="L30" s="6">
        <v>25319</v>
      </c>
      <c r="M30" s="43">
        <f>'$$xSchpostCouncil 22'!M30/'$$xSchpostCouncil 22'!M$123</f>
        <v>1</v>
      </c>
      <c r="N30" s="43">
        <f>'$$xSchpostCouncil 22'!N30/'$$xSchpostCouncil 22'!N$123</f>
        <v>1</v>
      </c>
      <c r="O30" s="43">
        <f>'$$xSchpostCouncil 22'!O30/'$$xSchpostCouncil 22'!O$123</f>
        <v>8</v>
      </c>
      <c r="P30" s="43">
        <f>'$$xSchpostCouncil 22'!P30/'$$xSchpostCouncil 22'!P$123</f>
        <v>1</v>
      </c>
      <c r="Q30" s="43">
        <f>'$$xSchpostCouncil 22'!Q30/'$$xSchpostCouncil 22'!Q$123</f>
        <v>0</v>
      </c>
      <c r="R30" s="43">
        <f>'$$xSchpostCouncil 22'!R30/'$$xSchpostCouncil 22'!R$123</f>
        <v>0</v>
      </c>
      <c r="S30" s="43">
        <f>'$$xSchpostCouncil 22'!S30/'$$xSchpostCouncil 22'!S$123</f>
        <v>0</v>
      </c>
      <c r="T30" s="43">
        <f>'$$xSchpostCouncil 22'!T30/'$$xSchpostCouncil 22'!T$123</f>
        <v>0</v>
      </c>
      <c r="U30" s="6"/>
      <c r="V30" s="6"/>
      <c r="W30" s="6"/>
      <c r="X30" s="6"/>
      <c r="Y30" s="43">
        <f>'$$xSchpostCouncil 22'!Y30/'$$xSchpostCouncil 22'!Y$123</f>
        <v>0</v>
      </c>
      <c r="Z30" s="43">
        <f>'$$xSchpostCouncil 22'!Z30/'$$xSchpostCouncil 22'!Z$123</f>
        <v>0</v>
      </c>
      <c r="AA30" s="43">
        <f>'$$xSchpostCouncil 22'!AA30/'$$xSchpostCouncil 22'!AA$123</f>
        <v>2</v>
      </c>
      <c r="AB30" s="43">
        <f>'$$xSchpostCouncil 22'!AB30/'$$xSchpostCouncil 22'!AB$123</f>
        <v>0</v>
      </c>
      <c r="AC30" s="6"/>
      <c r="AD30" s="6">
        <v>303862</v>
      </c>
      <c r="AE30" s="43">
        <f>'$$xSchpostCouncil 22'!AE30/'$$xSchpostCouncil 22'!AE$123</f>
        <v>1</v>
      </c>
      <c r="AF30" s="43">
        <f>'$$xSchpostCouncil 22'!AF30/'$$xSchpostCouncil 22'!AF$123</f>
        <v>3</v>
      </c>
      <c r="AG30" s="43">
        <f>'$$xSchpostCouncil 22'!AG30/'$$xSchpostCouncil 22'!AG$123</f>
        <v>13</v>
      </c>
      <c r="AH30" s="43">
        <f>'$$xSchpostCouncil 22'!AH30/'$$xSchpostCouncil 22'!AH$123</f>
        <v>0</v>
      </c>
      <c r="AI30" s="43">
        <f>'$$xSchpostCouncil 22'!AI30/'$$xSchpostCouncil 22'!AI$123</f>
        <v>5</v>
      </c>
      <c r="AJ30" s="43"/>
      <c r="AK30" s="43">
        <f>'$$xSchpostCouncil 22'!AK30/'$$xSchpostCouncil 22'!AK$123</f>
        <v>1</v>
      </c>
      <c r="AL30" s="43">
        <f>'$$xSchpostCouncil 22'!AL30/'$$xSchpostCouncil 22'!AL$123</f>
        <v>0</v>
      </c>
      <c r="AM30" s="6"/>
      <c r="AN30" s="6"/>
      <c r="AO30" s="43">
        <f>'$$xSchpostCouncil 22'!AO30/'$$xSchpostCouncil 22'!AO$123</f>
        <v>7</v>
      </c>
      <c r="AP30" s="43">
        <f>'$$xSchpostCouncil 22'!AP30/'$$xSchpostCouncil 22'!AP$123</f>
        <v>0</v>
      </c>
      <c r="AQ30" s="43">
        <f>'$$xSchpostCouncil 22'!AQ30/'$$xSchpostCouncil 22'!AQ$123</f>
        <v>1</v>
      </c>
      <c r="AR30" s="6"/>
      <c r="AS30" s="6"/>
      <c r="AT30" s="6"/>
      <c r="AU30" s="6"/>
      <c r="AV30" s="6">
        <v>60000</v>
      </c>
      <c r="AW30" s="6">
        <v>0</v>
      </c>
      <c r="AX30" s="6"/>
      <c r="AY30" s="6"/>
      <c r="AZ30" s="6">
        <v>522767.91000000003</v>
      </c>
      <c r="BA30" s="6"/>
      <c r="BB30" s="6"/>
      <c r="BC30" s="43">
        <f>'$$xSchpostCouncil 22'!BC30/'$$xSchpostCouncil 22'!BC$123</f>
        <v>0</v>
      </c>
      <c r="BD30" s="43">
        <f>'$$xSchpostCouncil 22'!BD30/'$$xSchpostCouncil 22'!BD$123</f>
        <v>1</v>
      </c>
      <c r="BE30" s="6">
        <v>8416</v>
      </c>
      <c r="BF30" s="6">
        <v>16800</v>
      </c>
      <c r="BG30" s="6">
        <v>29000</v>
      </c>
      <c r="BH30" s="43">
        <f>'$$xSchpostCouncil 22'!BH30/'$$xSchpostCouncil 22'!BH$123</f>
        <v>0</v>
      </c>
      <c r="BI30" s="6"/>
      <c r="BJ30" s="43">
        <f>'$$xSchpostCouncil 22'!BJ30/'$$xSchpostCouncil 22'!BJ$123</f>
        <v>0</v>
      </c>
      <c r="BK30" s="6"/>
      <c r="BL30" s="43">
        <f>'$$xSchpostCouncil 22'!BL30/'$$xSchpostCouncil 22'!BL$123</f>
        <v>0.5</v>
      </c>
      <c r="BM30" s="6"/>
      <c r="BN30" s="43">
        <f>'$$xSchpostCouncil 22'!BN30/'$$xSchpostCouncil 22'!BN$123</f>
        <v>0</v>
      </c>
      <c r="BO30" s="43">
        <f>'$$xSchpostCouncil 22'!BO30/'$$xSchpostCouncil 22'!BO$123</f>
        <v>0</v>
      </c>
      <c r="BP30" s="6"/>
      <c r="BQ30" s="6"/>
      <c r="BR30" s="6"/>
      <c r="BS30" s="6">
        <v>832710</v>
      </c>
      <c r="BT30" s="6"/>
      <c r="BU30" s="43">
        <f>'$$xSchpostCouncil 22'!BU30/'$$xSchpostCouncil 22'!BU$123</f>
        <v>5.2631578947368418E-2</v>
      </c>
      <c r="BV30" s="43">
        <f>'$$xSchpostCouncil 22'!BV30/'$$xSchpostCouncil 22'!BV$123</f>
        <v>1</v>
      </c>
      <c r="BW30" s="43">
        <f>'$$xSchpostCouncil 22'!BW30/'$$xSchpostCouncil 22'!BW$123</f>
        <v>0</v>
      </c>
      <c r="BX30" s="6">
        <v>1086199</v>
      </c>
      <c r="BY30" s="6"/>
      <c r="BZ30" s="6"/>
      <c r="CA30" s="6"/>
      <c r="CB30" s="6"/>
      <c r="CC30" s="6"/>
      <c r="CD30" s="6"/>
      <c r="CE30" s="6"/>
      <c r="CF30" s="6">
        <v>0</v>
      </c>
      <c r="CI30" s="43">
        <f>'$$xSchpostCouncil 22'!CI30/'$$xSchpostCouncil 22'!CI$123</f>
        <v>1</v>
      </c>
      <c r="CJ30" s="43">
        <f>'$$xSchpostCouncil 22'!CJ30/'$$xSchpostCouncil 22'!CJ$123</f>
        <v>2.3000019165777585</v>
      </c>
      <c r="CK30" s="43">
        <f>'$$xSchpostCouncil 22'!CK30/'$$xSchpostCouncil 22'!CK$123</f>
        <v>1</v>
      </c>
      <c r="CL30" s="43">
        <f>'$$xSchpostCouncil 22'!CL30/'$$xSchpostCouncil 22'!CL$123</f>
        <v>1.6999940757123957</v>
      </c>
      <c r="CM30" s="43">
        <f>'$$xSchpostCouncil 22'!CM30/'$$xSchpostCouncil 22'!CM$123</f>
        <v>1</v>
      </c>
      <c r="CN30" s="43">
        <f>'$$xSchpostCouncil 22'!CN30/'$$xSchpostCouncil 22'!CN$123</f>
        <v>1</v>
      </c>
      <c r="CO30" s="43">
        <f>'$$xSchpostCouncil 22'!CO30/'$$xSchpostCouncil 22'!CO$123</f>
        <v>0</v>
      </c>
      <c r="CP30" s="43">
        <f>'$$xSchpostCouncil 22'!CP30/'$$xSchpostCouncil 22'!CP$123</f>
        <v>0</v>
      </c>
      <c r="CQ30" s="43">
        <f>'$$xSchpostCouncil 22'!CQ30/'$$xSchpostCouncil 22'!CQ$123</f>
        <v>29.000001954356886</v>
      </c>
      <c r="CR30" s="43">
        <f>'$$xSchpostCouncil 22'!CR30/'$$xSchpostCouncil 22'!CR$123</f>
        <v>0</v>
      </c>
      <c r="CS30" s="6"/>
      <c r="CT30" s="6"/>
      <c r="CU30" s="6"/>
      <c r="CV30" s="43">
        <f>'$$xSchpostCouncil 22'!CV30/'$$xSchpostCouncil 22'!CV$123</f>
        <v>1</v>
      </c>
      <c r="CW30" s="43">
        <f>'$$xSchpostCouncil 22'!CW30/'$$xSchpostCouncil 22'!CW$123</f>
        <v>0</v>
      </c>
      <c r="CX30" s="6">
        <v>24641</v>
      </c>
      <c r="CY30" s="6">
        <v>75000</v>
      </c>
      <c r="CZ30" s="6"/>
      <c r="DB30" s="43">
        <f>'$$xSchpostCouncil 22'!DB30/'$$xSchpostCouncil 22'!DB$123</f>
        <v>0</v>
      </c>
      <c r="DC30" s="43">
        <f>'$$xSchpostCouncil 22'!DC30/'$$xSchpostCouncil 22'!DC$123</f>
        <v>1</v>
      </c>
      <c r="DF30" s="43">
        <f>'$$xSchpostCouncil 22'!DF30/'$$xSchpostCouncil 22'!DF$123</f>
        <v>0</v>
      </c>
      <c r="DG30" s="43">
        <f>'$$xSchpostCouncil 22'!DG30/'$$xSchpostCouncil 22'!DG$123</f>
        <v>0</v>
      </c>
      <c r="DH30" s="43">
        <f>'$$xSchpostCouncil 22'!DH30/'$$xSchpostCouncil 22'!DH$123</f>
        <v>8.6199999999999974</v>
      </c>
      <c r="DI30" s="43">
        <f>'$$xSchpostCouncil 22'!DI30/'$$xSchpostCouncil 22'!DI$123</f>
        <v>0</v>
      </c>
      <c r="DJ30" s="43">
        <f>'$$xSchpostCouncil 22'!DJ30/'$$xSchpostCouncil 22'!DJ$123</f>
        <v>0</v>
      </c>
      <c r="DK30" s="43">
        <f>'$$xSchpostCouncil 22'!DK30/'$$xSchpostCouncil 22'!DK$123</f>
        <v>0</v>
      </c>
      <c r="DL30" s="6">
        <v>7745</v>
      </c>
      <c r="DM30" s="6"/>
      <c r="DN30" s="43">
        <f>'$$xSchpostCouncil 22'!DN30/'$$xSchpostCouncil 22'!DN$123</f>
        <v>1</v>
      </c>
      <c r="DO30" s="6"/>
      <c r="DP30" s="6">
        <v>12100</v>
      </c>
      <c r="DU30" s="6">
        <f>VLOOKUP($A30,[3]Totals!$B$2:$K$119,10,FALSE)</f>
        <v>270050.21000000002</v>
      </c>
      <c r="DV30" s="6">
        <f>VLOOKUP($A30,[3]Totals!$B$2:$K$119,9,FALSE)</f>
        <v>0</v>
      </c>
    </row>
    <row r="31" spans="1:126" x14ac:dyDescent="0.2">
      <c r="A31" s="3">
        <v>405</v>
      </c>
      <c r="B31" s="2" t="s">
        <v>98</v>
      </c>
      <c r="C31" t="s">
        <v>19</v>
      </c>
      <c r="D31">
        <v>3</v>
      </c>
      <c r="E31" s="8">
        <v>1466</v>
      </c>
      <c r="F31" s="7">
        <v>0.111</v>
      </c>
      <c r="G31">
        <v>163</v>
      </c>
      <c r="H31" s="43">
        <f>'$$xSchpostCouncil 22'!H31/'$$xSchpostCouncil 22'!H$123</f>
        <v>1</v>
      </c>
      <c r="I31" s="43">
        <f>'$$xSchpostCouncil 22'!I31/'$$xSchpostCouncil 22'!I$123</f>
        <v>3.6999973349678865</v>
      </c>
      <c r="J31" s="43">
        <f>'$$xSchpostCouncil 22'!J31/'$$xSchpostCouncil 22'!J$123</f>
        <v>0</v>
      </c>
      <c r="K31" s="43">
        <f>'$$xSchpostCouncil 22'!K31/'$$xSchpostCouncil 22'!K$123</f>
        <v>1</v>
      </c>
      <c r="L31" s="6">
        <v>10330</v>
      </c>
      <c r="M31" s="43">
        <f>'$$xSchpostCouncil 22'!M31/'$$xSchpostCouncil 22'!M$123</f>
        <v>1</v>
      </c>
      <c r="N31" s="43">
        <f>'$$xSchpostCouncil 22'!N31/'$$xSchpostCouncil 22'!N$123</f>
        <v>1</v>
      </c>
      <c r="O31" s="43">
        <f>'$$xSchpostCouncil 22'!O31/'$$xSchpostCouncil 22'!O$123</f>
        <v>7</v>
      </c>
      <c r="P31" s="43">
        <f>'$$xSchpostCouncil 22'!P31/'$$xSchpostCouncil 22'!P$123</f>
        <v>1</v>
      </c>
      <c r="Q31" s="43">
        <f>'$$xSchpostCouncil 22'!Q31/'$$xSchpostCouncil 22'!Q$123</f>
        <v>0</v>
      </c>
      <c r="R31" s="43">
        <f>'$$xSchpostCouncil 22'!R31/'$$xSchpostCouncil 22'!R$123</f>
        <v>0</v>
      </c>
      <c r="S31" s="43">
        <f>'$$xSchpostCouncil 22'!S31/'$$xSchpostCouncil 22'!S$123</f>
        <v>0</v>
      </c>
      <c r="T31" s="43">
        <f>'$$xSchpostCouncil 22'!T31/'$$xSchpostCouncil 22'!T$123</f>
        <v>0</v>
      </c>
      <c r="U31" s="6"/>
      <c r="V31" s="6"/>
      <c r="W31" s="6"/>
      <c r="X31" s="6"/>
      <c r="Y31" s="43">
        <f>'$$xSchpostCouncil 22'!Y31/'$$xSchpostCouncil 22'!Y$123</f>
        <v>0</v>
      </c>
      <c r="Z31" s="43">
        <f>'$$xSchpostCouncil 22'!Z31/'$$xSchpostCouncil 22'!Z$123</f>
        <v>0</v>
      </c>
      <c r="AA31" s="43">
        <f>'$$xSchpostCouncil 22'!AA31/'$$xSchpostCouncil 22'!AA$123</f>
        <v>0</v>
      </c>
      <c r="AB31" s="43">
        <f>'$$xSchpostCouncil 22'!AB31/'$$xSchpostCouncil 22'!AB$123</f>
        <v>0</v>
      </c>
      <c r="AC31" s="6"/>
      <c r="AD31" s="6">
        <v>458916</v>
      </c>
      <c r="AE31" s="43">
        <f>'$$xSchpostCouncil 22'!AE31/'$$xSchpostCouncil 22'!AE$123</f>
        <v>2</v>
      </c>
      <c r="AF31" s="43">
        <f>'$$xSchpostCouncil 22'!AF31/'$$xSchpostCouncil 22'!AF$123</f>
        <v>3</v>
      </c>
      <c r="AG31" s="43">
        <f>'$$xSchpostCouncil 22'!AG31/'$$xSchpostCouncil 22'!AG$123</f>
        <v>17</v>
      </c>
      <c r="AH31" s="43">
        <f>'$$xSchpostCouncil 22'!AH31/'$$xSchpostCouncil 22'!AH$123</f>
        <v>0</v>
      </c>
      <c r="AI31" s="43">
        <f>'$$xSchpostCouncil 22'!AI31/'$$xSchpostCouncil 22'!AI$123</f>
        <v>3</v>
      </c>
      <c r="AJ31" s="43"/>
      <c r="AK31" s="43">
        <f>'$$xSchpostCouncil 22'!AK31/'$$xSchpostCouncil 22'!AK$123</f>
        <v>0</v>
      </c>
      <c r="AL31" s="43">
        <f>'$$xSchpostCouncil 22'!AL31/'$$xSchpostCouncil 22'!AL$123</f>
        <v>0</v>
      </c>
      <c r="AM31" s="6"/>
      <c r="AN31" s="6"/>
      <c r="AO31" s="43">
        <f>'$$xSchpostCouncil 22'!AO31/'$$xSchpostCouncil 22'!AO$123</f>
        <v>6</v>
      </c>
      <c r="AP31" s="43">
        <f>'$$xSchpostCouncil 22'!AP31/'$$xSchpostCouncil 22'!AP$123</f>
        <v>0</v>
      </c>
      <c r="AQ31" s="43">
        <f>'$$xSchpostCouncil 22'!AQ31/'$$xSchpostCouncil 22'!AQ$123</f>
        <v>0</v>
      </c>
      <c r="AR31" s="6"/>
      <c r="AS31" s="6"/>
      <c r="AT31" s="6"/>
      <c r="AU31" s="6"/>
      <c r="AV31" s="6"/>
      <c r="AW31" s="6">
        <v>0</v>
      </c>
      <c r="AX31" s="6"/>
      <c r="AY31" s="6"/>
      <c r="AZ31" s="6">
        <v>0</v>
      </c>
      <c r="BA31" s="6"/>
      <c r="BB31" s="6">
        <v>36650</v>
      </c>
      <c r="BC31" s="43">
        <f>'$$xSchpostCouncil 22'!BC31/'$$xSchpostCouncil 22'!BC$123</f>
        <v>0</v>
      </c>
      <c r="BD31" s="43">
        <f>'$$xSchpostCouncil 22'!BD31/'$$xSchpostCouncil 22'!BD$123</f>
        <v>0</v>
      </c>
      <c r="BE31" s="6"/>
      <c r="BF31" s="6"/>
      <c r="BG31" s="6"/>
      <c r="BH31" s="43">
        <f>'$$xSchpostCouncil 22'!BH31/'$$xSchpostCouncil 22'!BH$123</f>
        <v>1</v>
      </c>
      <c r="BI31" s="6">
        <v>15087</v>
      </c>
      <c r="BJ31" s="43">
        <f>'$$xSchpostCouncil 22'!BJ31/'$$xSchpostCouncil 22'!BJ$123</f>
        <v>0</v>
      </c>
      <c r="BK31" s="6"/>
      <c r="BL31" s="43">
        <f>'$$xSchpostCouncil 22'!BL31/'$$xSchpostCouncil 22'!BL$123</f>
        <v>0</v>
      </c>
      <c r="BM31" s="6"/>
      <c r="BN31" s="43">
        <f>'$$xSchpostCouncil 22'!BN31/'$$xSchpostCouncil 22'!BN$123</f>
        <v>0</v>
      </c>
      <c r="BO31" s="43">
        <f>'$$xSchpostCouncil 22'!BO31/'$$xSchpostCouncil 22'!BO$123</f>
        <v>0</v>
      </c>
      <c r="BP31" s="6"/>
      <c r="BQ31" s="6"/>
      <c r="BR31" s="6"/>
      <c r="BS31" s="6"/>
      <c r="BT31" s="6"/>
      <c r="BU31" s="43">
        <f>'$$xSchpostCouncil 22'!BU31/'$$xSchpostCouncil 22'!BU$123</f>
        <v>0</v>
      </c>
      <c r="BV31" s="43">
        <f>'$$xSchpostCouncil 22'!BV31/'$$xSchpostCouncil 22'!BV$123</f>
        <v>0</v>
      </c>
      <c r="BW31" s="43">
        <f>'$$xSchpostCouncil 22'!BW31/'$$xSchpostCouncil 22'!BW$123</f>
        <v>0</v>
      </c>
      <c r="BX31" s="6">
        <v>412638</v>
      </c>
      <c r="BY31" s="6"/>
      <c r="BZ31" s="6"/>
      <c r="CA31" s="6"/>
      <c r="CB31" s="6"/>
      <c r="CC31" s="6">
        <v>170905</v>
      </c>
      <c r="CD31" s="6">
        <v>471160</v>
      </c>
      <c r="CE31" s="6">
        <v>337707</v>
      </c>
      <c r="CF31" s="6">
        <v>284671</v>
      </c>
      <c r="CI31" s="43">
        <f>'$$xSchpostCouncil 22'!CI31/'$$xSchpostCouncil 22'!CI$123</f>
        <v>1</v>
      </c>
      <c r="CJ31" s="43">
        <f>'$$xSchpostCouncil 22'!CJ31/'$$xSchpostCouncil 22'!CJ$123</f>
        <v>4.8999993611407469</v>
      </c>
      <c r="CK31" s="43">
        <f>'$$xSchpostCouncil 22'!CK31/'$$xSchpostCouncil 22'!CK$123</f>
        <v>1</v>
      </c>
      <c r="CL31" s="43">
        <f>'$$xSchpostCouncil 22'!CL31/'$$xSchpostCouncil 22'!CL$123</f>
        <v>3.6999940757123957</v>
      </c>
      <c r="CM31" s="43">
        <f>'$$xSchpostCouncil 22'!CM31/'$$xSchpostCouncil 22'!CM$123</f>
        <v>0</v>
      </c>
      <c r="CN31" s="43">
        <f>'$$xSchpostCouncil 22'!CN31/'$$xSchpostCouncil 22'!CN$123</f>
        <v>0</v>
      </c>
      <c r="CO31" s="43">
        <f>'$$xSchpostCouncil 22'!CO31/'$$xSchpostCouncil 22'!CO$123</f>
        <v>0</v>
      </c>
      <c r="CP31" s="43">
        <f>'$$xSchpostCouncil 22'!CP31/'$$xSchpostCouncil 22'!CP$123</f>
        <v>0</v>
      </c>
      <c r="CQ31" s="43">
        <f>'$$xSchpostCouncil 22'!CQ31/'$$xSchpostCouncil 22'!CQ$123</f>
        <v>66.599996446623848</v>
      </c>
      <c r="CR31" s="43">
        <f>'$$xSchpostCouncil 22'!CR31/'$$xSchpostCouncil 22'!CR$123</f>
        <v>3</v>
      </c>
      <c r="CS31" s="6">
        <v>23000</v>
      </c>
      <c r="CT31" s="6"/>
      <c r="CU31" s="6">
        <v>100000</v>
      </c>
      <c r="CV31" s="43">
        <f>'$$xSchpostCouncil 22'!CV31/'$$xSchpostCouncil 22'!CV$123</f>
        <v>0</v>
      </c>
      <c r="CW31" s="43">
        <f>'$$xSchpostCouncil 22'!CW31/'$$xSchpostCouncil 22'!CW$123</f>
        <v>0</v>
      </c>
      <c r="CX31" s="6">
        <v>0</v>
      </c>
      <c r="CY31" s="6"/>
      <c r="CZ31" s="6"/>
      <c r="DB31" s="43">
        <f>'$$xSchpostCouncil 22'!DB31/'$$xSchpostCouncil 22'!DB$123</f>
        <v>1</v>
      </c>
      <c r="DC31" s="43">
        <f>'$$xSchpostCouncil 22'!DC31/'$$xSchpostCouncil 22'!DC$123</f>
        <v>0</v>
      </c>
      <c r="DF31" s="43">
        <f>'$$xSchpostCouncil 22'!DF31/'$$xSchpostCouncil 22'!DF$123</f>
        <v>0</v>
      </c>
      <c r="DG31" s="43">
        <f>'$$xSchpostCouncil 22'!DG31/'$$xSchpostCouncil 22'!DG$123</f>
        <v>0</v>
      </c>
      <c r="DH31" s="43">
        <f>'$$xSchpostCouncil 22'!DH31/'$$xSchpostCouncil 22'!DH$123</f>
        <v>0</v>
      </c>
      <c r="DI31" s="43">
        <f>'$$xSchpostCouncil 22'!DI31/'$$xSchpostCouncil 22'!DI$123</f>
        <v>0</v>
      </c>
      <c r="DJ31" s="43">
        <f>'$$xSchpostCouncil 22'!DJ31/'$$xSchpostCouncil 22'!DJ$123</f>
        <v>0</v>
      </c>
      <c r="DK31" s="43">
        <f>'$$xSchpostCouncil 22'!DK31/'$$xSchpostCouncil 22'!DK$123</f>
        <v>0</v>
      </c>
      <c r="DL31" s="6"/>
      <c r="DM31" s="6"/>
      <c r="DN31" s="43">
        <f>'$$xSchpostCouncil 22'!DN31/'$$xSchpostCouncil 22'!DN$123</f>
        <v>0</v>
      </c>
      <c r="DO31" s="6"/>
      <c r="DP31" s="6">
        <v>32175</v>
      </c>
      <c r="DU31" s="6">
        <f>VLOOKUP($A31,[3]Totals!$B$2:$K$119,10,FALSE)</f>
        <v>191587.37</v>
      </c>
      <c r="DV31" s="6">
        <f>VLOOKUP($A31,[3]Totals!$B$2:$K$119,9,FALSE)</f>
        <v>369037</v>
      </c>
    </row>
    <row r="32" spans="1:126" x14ac:dyDescent="0.2">
      <c r="A32" s="3">
        <v>349</v>
      </c>
      <c r="B32" s="2" t="s">
        <v>97</v>
      </c>
      <c r="C32" t="s">
        <v>7</v>
      </c>
      <c r="D32">
        <v>4</v>
      </c>
      <c r="E32" s="8">
        <v>452</v>
      </c>
      <c r="F32" s="7">
        <v>0.40699999999999997</v>
      </c>
      <c r="G32">
        <v>184</v>
      </c>
      <c r="H32" s="43">
        <f>'$$xSchpostCouncil 22'!H32/'$$xSchpostCouncil 22'!H$123</f>
        <v>1</v>
      </c>
      <c r="I32" s="43">
        <f>'$$xSchpostCouncil 22'!I32/'$$xSchpostCouncil 22'!I$123</f>
        <v>0</v>
      </c>
      <c r="J32" s="43">
        <f>'$$xSchpostCouncil 22'!J32/'$$xSchpostCouncil 22'!J$123</f>
        <v>0</v>
      </c>
      <c r="K32" s="43">
        <f>'$$xSchpostCouncil 22'!K32/'$$xSchpostCouncil 22'!K$123</f>
        <v>1</v>
      </c>
      <c r="L32" s="6">
        <v>4271</v>
      </c>
      <c r="M32" s="43">
        <f>'$$xSchpostCouncil 22'!M32/'$$xSchpostCouncil 22'!M$123</f>
        <v>1</v>
      </c>
      <c r="N32" s="43">
        <f>'$$xSchpostCouncil 22'!N32/'$$xSchpostCouncil 22'!N$123</f>
        <v>1</v>
      </c>
      <c r="O32" s="43">
        <f>'$$xSchpostCouncil 22'!O32/'$$xSchpostCouncil 22'!O$123</f>
        <v>2</v>
      </c>
      <c r="P32" s="43">
        <f>'$$xSchpostCouncil 22'!P32/'$$xSchpostCouncil 22'!P$123</f>
        <v>1</v>
      </c>
      <c r="Q32" s="43">
        <f>'$$xSchpostCouncil 22'!Q32/'$$xSchpostCouncil 22'!Q$123</f>
        <v>5</v>
      </c>
      <c r="R32" s="43">
        <f>'$$xSchpostCouncil 22'!R32/'$$xSchpostCouncil 22'!R$123</f>
        <v>0</v>
      </c>
      <c r="S32" s="43">
        <f>'$$xSchpostCouncil 22'!S32/'$$xSchpostCouncil 22'!S$123</f>
        <v>5</v>
      </c>
      <c r="T32" s="43">
        <f>'$$xSchpostCouncil 22'!T32/'$$xSchpostCouncil 22'!T$123</f>
        <v>9</v>
      </c>
      <c r="U32" s="6"/>
      <c r="V32" s="6"/>
      <c r="W32" s="6"/>
      <c r="X32" s="6"/>
      <c r="Y32" s="43">
        <f>'$$xSchpostCouncil 22'!Y32/'$$xSchpostCouncil 22'!Y$123</f>
        <v>0</v>
      </c>
      <c r="Z32" s="43">
        <f>'$$xSchpostCouncil 22'!Z32/'$$xSchpostCouncil 22'!Z$123</f>
        <v>0</v>
      </c>
      <c r="AA32" s="43">
        <f>'$$xSchpostCouncil 22'!AA32/'$$xSchpostCouncil 22'!AA$123</f>
        <v>0</v>
      </c>
      <c r="AB32" s="43">
        <f>'$$xSchpostCouncil 22'!AB32/'$$xSchpostCouncil 22'!AB$123</f>
        <v>0</v>
      </c>
      <c r="AC32" s="6"/>
      <c r="AD32" s="6">
        <v>188634</v>
      </c>
      <c r="AE32" s="43">
        <f>'$$xSchpostCouncil 22'!AE32/'$$xSchpostCouncil 22'!AE$123</f>
        <v>1</v>
      </c>
      <c r="AF32" s="43">
        <f>'$$xSchpostCouncil 22'!AF32/'$$xSchpostCouncil 22'!AF$123</f>
        <v>2</v>
      </c>
      <c r="AG32" s="43">
        <f>'$$xSchpostCouncil 22'!AG32/'$$xSchpostCouncil 22'!AG$123</f>
        <v>7</v>
      </c>
      <c r="AH32" s="43">
        <f>'$$xSchpostCouncil 22'!AH32/'$$xSchpostCouncil 22'!AH$123</f>
        <v>0</v>
      </c>
      <c r="AI32" s="43">
        <f>'$$xSchpostCouncil 22'!AI32/'$$xSchpostCouncil 22'!AI$123</f>
        <v>6</v>
      </c>
      <c r="AJ32" s="43"/>
      <c r="AK32" s="43">
        <f>'$$xSchpostCouncil 22'!AK32/'$$xSchpostCouncil 22'!AK$123</f>
        <v>0</v>
      </c>
      <c r="AL32" s="43">
        <f>'$$xSchpostCouncil 22'!AL32/'$$xSchpostCouncil 22'!AL$123</f>
        <v>0</v>
      </c>
      <c r="AM32" s="6"/>
      <c r="AN32" s="6"/>
      <c r="AO32" s="43">
        <f>'$$xSchpostCouncil 22'!AO32/'$$xSchpostCouncil 22'!AO$123</f>
        <v>11</v>
      </c>
      <c r="AP32" s="43">
        <f>'$$xSchpostCouncil 22'!AP32/'$$xSchpostCouncil 22'!AP$123</f>
        <v>0</v>
      </c>
      <c r="AQ32" s="43">
        <f>'$$xSchpostCouncil 22'!AQ32/'$$xSchpostCouncil 22'!AQ$123</f>
        <v>0</v>
      </c>
      <c r="AR32" s="6"/>
      <c r="AS32" s="6"/>
      <c r="AT32" s="6"/>
      <c r="AU32" s="6"/>
      <c r="AV32" s="6"/>
      <c r="AW32" s="6">
        <v>0</v>
      </c>
      <c r="AX32" s="6"/>
      <c r="AY32" s="6"/>
      <c r="AZ32" s="6">
        <v>204953.19</v>
      </c>
      <c r="BA32" s="6"/>
      <c r="BB32" s="6"/>
      <c r="BC32" s="43">
        <f>'$$xSchpostCouncil 22'!BC32/'$$xSchpostCouncil 22'!BC$123</f>
        <v>0</v>
      </c>
      <c r="BD32" s="43">
        <f>'$$xSchpostCouncil 22'!BD32/'$$xSchpostCouncil 22'!BD$123</f>
        <v>0</v>
      </c>
      <c r="BE32" s="6"/>
      <c r="BF32" s="6"/>
      <c r="BG32" s="6"/>
      <c r="BH32" s="43">
        <f>'$$xSchpostCouncil 22'!BH32/'$$xSchpostCouncil 22'!BH$123</f>
        <v>0</v>
      </c>
      <c r="BI32" s="6"/>
      <c r="BJ32" s="43">
        <f>'$$xSchpostCouncil 22'!BJ32/'$$xSchpostCouncil 22'!BJ$123</f>
        <v>0</v>
      </c>
      <c r="BK32" s="6"/>
      <c r="BL32" s="43">
        <f>'$$xSchpostCouncil 22'!BL32/'$$xSchpostCouncil 22'!BL$123</f>
        <v>0</v>
      </c>
      <c r="BM32" s="6"/>
      <c r="BN32" s="43">
        <f>'$$xSchpostCouncil 22'!BN32/'$$xSchpostCouncil 22'!BN$123</f>
        <v>0</v>
      </c>
      <c r="BO32" s="43">
        <f>'$$xSchpostCouncil 22'!BO32/'$$xSchpostCouncil 22'!BO$123</f>
        <v>0</v>
      </c>
      <c r="BP32" s="6"/>
      <c r="BQ32" s="6"/>
      <c r="BR32" s="6"/>
      <c r="BS32" s="6"/>
      <c r="BT32" s="6"/>
      <c r="BU32" s="43">
        <f>'$$xSchpostCouncil 22'!BU32/'$$xSchpostCouncil 22'!BU$123</f>
        <v>0</v>
      </c>
      <c r="BV32" s="43">
        <f>'$$xSchpostCouncil 22'!BV32/'$$xSchpostCouncil 22'!BV$123</f>
        <v>0</v>
      </c>
      <c r="BW32" s="43">
        <f>'$$xSchpostCouncil 22'!BW32/'$$xSchpostCouncil 22'!BW$123</f>
        <v>0</v>
      </c>
      <c r="BX32" s="6">
        <v>465800</v>
      </c>
      <c r="BY32" s="6"/>
      <c r="BZ32" s="6"/>
      <c r="CA32" s="6"/>
      <c r="CB32" s="6"/>
      <c r="CC32" s="6">
        <v>45581</v>
      </c>
      <c r="CD32" s="6"/>
      <c r="CE32" s="6"/>
      <c r="CF32" s="6">
        <v>262626</v>
      </c>
      <c r="CI32" s="43">
        <f>'$$xSchpostCouncil 22'!CI32/'$$xSchpostCouncil 22'!CI$123</f>
        <v>1</v>
      </c>
      <c r="CJ32" s="43">
        <f>'$$xSchpostCouncil 22'!CJ32/'$$xSchpostCouncil 22'!CJ$123</f>
        <v>1.1000006388592529</v>
      </c>
      <c r="CK32" s="43">
        <f>'$$xSchpostCouncil 22'!CK32/'$$xSchpostCouncil 22'!CK$123</f>
        <v>1</v>
      </c>
      <c r="CL32" s="43">
        <f>'$$xSchpostCouncil 22'!CL32/'$$xSchpostCouncil 22'!CL$123</f>
        <v>1.1000019747625347</v>
      </c>
      <c r="CM32" s="43">
        <f>'$$xSchpostCouncil 22'!CM32/'$$xSchpostCouncil 22'!CM$123</f>
        <v>0</v>
      </c>
      <c r="CN32" s="43">
        <f>'$$xSchpostCouncil 22'!CN32/'$$xSchpostCouncil 22'!CN$123</f>
        <v>0</v>
      </c>
      <c r="CO32" s="43">
        <f>'$$xSchpostCouncil 22'!CO32/'$$xSchpostCouncil 22'!CO$123</f>
        <v>4.500004441720189</v>
      </c>
      <c r="CP32" s="43">
        <f>'$$xSchpostCouncil 22'!CP32/'$$xSchpostCouncil 22'!CP$123</f>
        <v>3</v>
      </c>
      <c r="CQ32" s="43">
        <f>'$$xSchpostCouncil 22'!CQ32/'$$xSchpostCouncil 22'!CQ$123</f>
        <v>17</v>
      </c>
      <c r="CR32" s="43">
        <f>'$$xSchpostCouncil 22'!CR32/'$$xSchpostCouncil 22'!CR$123</f>
        <v>0</v>
      </c>
      <c r="CS32" s="6"/>
      <c r="CT32" s="6"/>
      <c r="CU32" s="6"/>
      <c r="CV32" s="43">
        <f>'$$xSchpostCouncil 22'!CV32/'$$xSchpostCouncil 22'!CV$123</f>
        <v>0</v>
      </c>
      <c r="CW32" s="43">
        <f>'$$xSchpostCouncil 22'!CW32/'$$xSchpostCouncil 22'!CW$123</f>
        <v>0</v>
      </c>
      <c r="CX32" s="6">
        <v>0</v>
      </c>
      <c r="CY32" s="6"/>
      <c r="CZ32" s="6"/>
      <c r="DB32" s="43">
        <f>'$$xSchpostCouncil 22'!DB32/'$$xSchpostCouncil 22'!DB$123</f>
        <v>2</v>
      </c>
      <c r="DC32" s="43">
        <f>'$$xSchpostCouncil 22'!DC32/'$$xSchpostCouncil 22'!DC$123</f>
        <v>0</v>
      </c>
      <c r="DF32" s="43">
        <f>'$$xSchpostCouncil 22'!DF32/'$$xSchpostCouncil 22'!DF$123</f>
        <v>0</v>
      </c>
      <c r="DG32" s="43">
        <f>'$$xSchpostCouncil 22'!DG32/'$$xSchpostCouncil 22'!DG$123</f>
        <v>0</v>
      </c>
      <c r="DH32" s="43">
        <f>'$$xSchpostCouncil 22'!DH32/'$$xSchpostCouncil 22'!DH$123</f>
        <v>0</v>
      </c>
      <c r="DI32" s="43">
        <f>'$$xSchpostCouncil 22'!DI32/'$$xSchpostCouncil 22'!DI$123</f>
        <v>0</v>
      </c>
      <c r="DJ32" s="43">
        <f>'$$xSchpostCouncil 22'!DJ32/'$$xSchpostCouncil 22'!DJ$123</f>
        <v>0</v>
      </c>
      <c r="DK32" s="43">
        <f>'$$xSchpostCouncil 22'!DK32/'$$xSchpostCouncil 22'!DK$123</f>
        <v>0</v>
      </c>
      <c r="DL32" s="6">
        <v>3673</v>
      </c>
      <c r="DM32" s="6"/>
      <c r="DN32" s="43">
        <f>'$$xSchpostCouncil 22'!DN32/'$$xSchpostCouncil 22'!DN$123</f>
        <v>0</v>
      </c>
      <c r="DO32" s="6"/>
      <c r="DP32" s="6">
        <v>15400</v>
      </c>
      <c r="DU32" s="6">
        <f>VLOOKUP($A32,[3]Totals!$B$2:$K$119,10,FALSE)</f>
        <v>186366.74</v>
      </c>
      <c r="DV32" s="6">
        <f>VLOOKUP($A32,[3]Totals!$B$2:$K$119,9,FALSE)</f>
        <v>105424</v>
      </c>
    </row>
    <row r="33" spans="1:126" x14ac:dyDescent="0.2">
      <c r="A33" s="3">
        <v>231</v>
      </c>
      <c r="B33" s="2" t="s">
        <v>96</v>
      </c>
      <c r="C33" t="s">
        <v>7</v>
      </c>
      <c r="D33">
        <v>7</v>
      </c>
      <c r="E33" s="8">
        <v>223</v>
      </c>
      <c r="F33" s="7">
        <v>0.74</v>
      </c>
      <c r="G33">
        <v>165</v>
      </c>
      <c r="H33" s="43">
        <f>'$$xSchpostCouncil 22'!H33/'$$xSchpostCouncil 22'!H$123</f>
        <v>1</v>
      </c>
      <c r="I33" s="43">
        <f>'$$xSchpostCouncil 22'!I33/'$$xSchpostCouncil 22'!I$123</f>
        <v>0</v>
      </c>
      <c r="J33" s="43">
        <f>'$$xSchpostCouncil 22'!J33/'$$xSchpostCouncil 22'!J$123</f>
        <v>0</v>
      </c>
      <c r="K33" s="43">
        <f>'$$xSchpostCouncil 22'!K33/'$$xSchpostCouncil 22'!K$123</f>
        <v>1</v>
      </c>
      <c r="L33" s="6">
        <v>4391</v>
      </c>
      <c r="M33" s="43">
        <f>'$$xSchpostCouncil 22'!M33/'$$xSchpostCouncil 22'!M$123</f>
        <v>1</v>
      </c>
      <c r="N33" s="43">
        <f>'$$xSchpostCouncil 22'!N33/'$$xSchpostCouncil 22'!N$123</f>
        <v>1</v>
      </c>
      <c r="O33" s="43">
        <f>'$$xSchpostCouncil 22'!O33/'$$xSchpostCouncil 22'!O$123</f>
        <v>1</v>
      </c>
      <c r="P33" s="43">
        <f>'$$xSchpostCouncil 22'!P33/'$$xSchpostCouncil 22'!P$123</f>
        <v>1.0000006218408266</v>
      </c>
      <c r="Q33" s="43">
        <f>'$$xSchpostCouncil 22'!Q33/'$$xSchpostCouncil 22'!Q$123</f>
        <v>1</v>
      </c>
      <c r="R33" s="43">
        <f>'$$xSchpostCouncil 22'!R33/'$$xSchpostCouncil 22'!R$123</f>
        <v>1</v>
      </c>
      <c r="S33" s="43">
        <f>'$$xSchpostCouncil 22'!S33/'$$xSchpostCouncil 22'!S$123</f>
        <v>1</v>
      </c>
      <c r="T33" s="43">
        <f>'$$xSchpostCouncil 22'!T33/'$$xSchpostCouncil 22'!T$123</f>
        <v>3</v>
      </c>
      <c r="U33" s="6"/>
      <c r="V33" s="6"/>
      <c r="W33" s="6"/>
      <c r="X33" s="6"/>
      <c r="Y33" s="43">
        <f>'$$xSchpostCouncil 22'!Y33/'$$xSchpostCouncil 22'!Y$123</f>
        <v>0</v>
      </c>
      <c r="Z33" s="43">
        <f>'$$xSchpostCouncil 22'!Z33/'$$xSchpostCouncil 22'!Z$123</f>
        <v>0</v>
      </c>
      <c r="AA33" s="43">
        <f>'$$xSchpostCouncil 22'!AA33/'$$xSchpostCouncil 22'!AA$123</f>
        <v>0</v>
      </c>
      <c r="AB33" s="43">
        <f>'$$xSchpostCouncil 22'!AB33/'$$xSchpostCouncil 22'!AB$123</f>
        <v>0</v>
      </c>
      <c r="AC33" s="6"/>
      <c r="AD33" s="6">
        <v>91954</v>
      </c>
      <c r="AE33" s="43">
        <f>'$$xSchpostCouncil 22'!AE33/'$$xSchpostCouncil 22'!AE$123</f>
        <v>1</v>
      </c>
      <c r="AF33" s="43">
        <f>'$$xSchpostCouncil 22'!AF33/'$$xSchpostCouncil 22'!AF$123</f>
        <v>1</v>
      </c>
      <c r="AG33" s="43">
        <f>'$$xSchpostCouncil 22'!AG33/'$$xSchpostCouncil 22'!AG$123</f>
        <v>6</v>
      </c>
      <c r="AH33" s="43">
        <f>'$$xSchpostCouncil 22'!AH33/'$$xSchpostCouncil 22'!AH$123</f>
        <v>0</v>
      </c>
      <c r="AI33" s="43">
        <f>'$$xSchpostCouncil 22'!AI33/'$$xSchpostCouncil 22'!AI$123</f>
        <v>4</v>
      </c>
      <c r="AJ33" s="43"/>
      <c r="AK33" s="43">
        <f>'$$xSchpostCouncil 22'!AK33/'$$xSchpostCouncil 22'!AK$123</f>
        <v>0</v>
      </c>
      <c r="AL33" s="43">
        <f>'$$xSchpostCouncil 22'!AL33/'$$xSchpostCouncil 22'!AL$123</f>
        <v>0</v>
      </c>
      <c r="AM33" s="6"/>
      <c r="AN33" s="6"/>
      <c r="AO33" s="43">
        <f>'$$xSchpostCouncil 22'!AO33/'$$xSchpostCouncil 22'!AO$123</f>
        <v>0</v>
      </c>
      <c r="AP33" s="43">
        <f>'$$xSchpostCouncil 22'!AP33/'$$xSchpostCouncil 22'!AP$123</f>
        <v>0.40999742380229015</v>
      </c>
      <c r="AQ33" s="43">
        <f>'$$xSchpostCouncil 22'!AQ33/'$$xSchpostCouncil 22'!AQ$123</f>
        <v>0</v>
      </c>
      <c r="AR33" s="6"/>
      <c r="AS33" s="6">
        <f>27200-20400</f>
        <v>6800</v>
      </c>
      <c r="AT33" s="6">
        <f>27200-20400</f>
        <v>6800</v>
      </c>
      <c r="AU33" s="6">
        <v>10200</v>
      </c>
      <c r="AV33" s="6"/>
      <c r="AW33" s="6">
        <v>40800</v>
      </c>
      <c r="AX33" s="6"/>
      <c r="AY33" s="6"/>
      <c r="AZ33" s="6">
        <v>101115.95</v>
      </c>
      <c r="BA33" s="6"/>
      <c r="BB33" s="6"/>
      <c r="BC33" s="43">
        <f>'$$xSchpostCouncil 22'!BC33/'$$xSchpostCouncil 22'!BC$123</f>
        <v>0</v>
      </c>
      <c r="BD33" s="43">
        <f>'$$xSchpostCouncil 22'!BD33/'$$xSchpostCouncil 22'!BD$123</f>
        <v>0</v>
      </c>
      <c r="BE33" s="6"/>
      <c r="BF33" s="6"/>
      <c r="BG33" s="6"/>
      <c r="BH33" s="43">
        <f>'$$xSchpostCouncil 22'!BH33/'$$xSchpostCouncil 22'!BH$123</f>
        <v>0</v>
      </c>
      <c r="BI33" s="6"/>
      <c r="BJ33" s="43">
        <f>'$$xSchpostCouncil 22'!BJ33/'$$xSchpostCouncil 22'!BJ$123</f>
        <v>0</v>
      </c>
      <c r="BK33" s="6"/>
      <c r="BL33" s="43">
        <f>'$$xSchpostCouncil 22'!BL33/'$$xSchpostCouncil 22'!BL$123</f>
        <v>0</v>
      </c>
      <c r="BM33" s="6"/>
      <c r="BN33" s="43">
        <f>'$$xSchpostCouncil 22'!BN33/'$$xSchpostCouncil 22'!BN$123</f>
        <v>0</v>
      </c>
      <c r="BO33" s="43">
        <f>'$$xSchpostCouncil 22'!BO33/'$$xSchpostCouncil 22'!BO$123</f>
        <v>0</v>
      </c>
      <c r="BP33" s="6"/>
      <c r="BQ33" s="6"/>
      <c r="BR33" s="6">
        <v>13859</v>
      </c>
      <c r="BS33" s="6"/>
      <c r="BT33" s="6"/>
      <c r="BU33" s="43">
        <f>'$$xSchpostCouncil 22'!BU33/'$$xSchpostCouncil 22'!BU$123</f>
        <v>0</v>
      </c>
      <c r="BV33" s="43">
        <f>'$$xSchpostCouncil 22'!BV33/'$$xSchpostCouncil 22'!BV$123</f>
        <v>0</v>
      </c>
      <c r="BW33" s="43">
        <f>'$$xSchpostCouncil 22'!BW33/'$$xSchpostCouncil 22'!BW$123</f>
        <v>0</v>
      </c>
      <c r="BX33" s="6">
        <v>417700</v>
      </c>
      <c r="BY33" s="6"/>
      <c r="BZ33" s="6"/>
      <c r="CA33" s="6"/>
      <c r="CB33" s="6"/>
      <c r="CC33" s="6"/>
      <c r="CD33" s="6"/>
      <c r="CE33" s="6">
        <v>112569</v>
      </c>
      <c r="CF33" s="6">
        <v>0</v>
      </c>
      <c r="CI33" s="43">
        <f>'$$xSchpostCouncil 22'!CI33/'$$xSchpostCouncil 22'!CI$123</f>
        <v>1</v>
      </c>
      <c r="CJ33" s="43">
        <f>'$$xSchpostCouncil 22'!CJ33/'$$xSchpostCouncil 22'!CJ$123</f>
        <v>0</v>
      </c>
      <c r="CK33" s="43">
        <f>'$$xSchpostCouncil 22'!CK33/'$$xSchpostCouncil 22'!CK$123</f>
        <v>0.50000550182110282</v>
      </c>
      <c r="CL33" s="43">
        <f>'$$xSchpostCouncil 22'!CL33/'$$xSchpostCouncil 22'!CL$123</f>
        <v>0</v>
      </c>
      <c r="CM33" s="43">
        <f>'$$xSchpostCouncil 22'!CM33/'$$xSchpostCouncil 22'!CM$123</f>
        <v>0</v>
      </c>
      <c r="CN33" s="43">
        <f>'$$xSchpostCouncil 22'!CN33/'$$xSchpostCouncil 22'!CN$123</f>
        <v>0</v>
      </c>
      <c r="CO33" s="43">
        <f>'$$xSchpostCouncil 22'!CO33/'$$xSchpostCouncil 22'!CO$123</f>
        <v>3</v>
      </c>
      <c r="CP33" s="43">
        <f>'$$xSchpostCouncil 22'!CP33/'$$xSchpostCouncil 22'!CP$123</f>
        <v>2</v>
      </c>
      <c r="CQ33" s="43">
        <f>'$$xSchpostCouncil 22'!CQ33/'$$xSchpostCouncil 22'!CQ$123</f>
        <v>10</v>
      </c>
      <c r="CR33" s="43">
        <f>'$$xSchpostCouncil 22'!CR33/'$$xSchpostCouncil 22'!CR$123</f>
        <v>0</v>
      </c>
      <c r="CS33" s="6"/>
      <c r="CT33" s="6"/>
      <c r="CU33" s="6"/>
      <c r="CV33" s="43">
        <f>'$$xSchpostCouncil 22'!CV33/'$$xSchpostCouncil 22'!CV$123</f>
        <v>0</v>
      </c>
      <c r="CW33" s="43">
        <f>'$$xSchpostCouncil 22'!CW33/'$$xSchpostCouncil 22'!CW$123</f>
        <v>0</v>
      </c>
      <c r="CX33" s="6">
        <v>0</v>
      </c>
      <c r="CY33" s="6"/>
      <c r="CZ33" s="6"/>
      <c r="DB33" s="43">
        <f>'$$xSchpostCouncil 22'!DB33/'$$xSchpostCouncil 22'!DB$123</f>
        <v>0</v>
      </c>
      <c r="DC33" s="43">
        <f>'$$xSchpostCouncil 22'!DC33/'$$xSchpostCouncil 22'!DC$123</f>
        <v>0</v>
      </c>
      <c r="DF33" s="43">
        <f>'$$xSchpostCouncil 22'!DF33/'$$xSchpostCouncil 22'!DF$123</f>
        <v>0</v>
      </c>
      <c r="DG33" s="43">
        <f>'$$xSchpostCouncil 22'!DG33/'$$xSchpostCouncil 22'!DG$123</f>
        <v>0</v>
      </c>
      <c r="DH33" s="43">
        <f>'$$xSchpostCouncil 22'!DH33/'$$xSchpostCouncil 22'!DH$123</f>
        <v>0</v>
      </c>
      <c r="DI33" s="43">
        <f>'$$xSchpostCouncil 22'!DI33/'$$xSchpostCouncil 22'!DI$123</f>
        <v>0</v>
      </c>
      <c r="DJ33" s="43">
        <f>'$$xSchpostCouncil 22'!DJ33/'$$xSchpostCouncil 22'!DJ$123</f>
        <v>0</v>
      </c>
      <c r="DK33" s="43">
        <f>'$$xSchpostCouncil 22'!DK33/'$$xSchpostCouncil 22'!DK$123</f>
        <v>0</v>
      </c>
      <c r="DL33" s="6">
        <v>3328</v>
      </c>
      <c r="DM33" s="6"/>
      <c r="DN33" s="43">
        <f>'$$xSchpostCouncil 22'!DN33/'$$xSchpostCouncil 22'!DN$123</f>
        <v>0</v>
      </c>
      <c r="DO33" s="6"/>
      <c r="DP33" s="6">
        <v>17225</v>
      </c>
      <c r="DU33" s="6">
        <f>VLOOKUP($A33,[3]Totals!$B$2:$K$119,10,FALSE)</f>
        <v>126964.59</v>
      </c>
      <c r="DV33" s="6">
        <f>VLOOKUP($A33,[3]Totals!$B$2:$K$119,9,FALSE)</f>
        <v>225138</v>
      </c>
    </row>
    <row r="34" spans="1:126" x14ac:dyDescent="0.2">
      <c r="A34" s="3">
        <v>467</v>
      </c>
      <c r="B34" s="2" t="s">
        <v>95</v>
      </c>
      <c r="C34" t="s">
        <v>1</v>
      </c>
      <c r="D34">
        <v>5</v>
      </c>
      <c r="E34" s="8">
        <v>662</v>
      </c>
      <c r="F34" s="7">
        <v>0.67800000000000005</v>
      </c>
      <c r="G34">
        <v>449</v>
      </c>
      <c r="H34" s="43">
        <f>'$$xSchpostCouncil 22'!H34/'$$xSchpostCouncil 22'!H$123</f>
        <v>1</v>
      </c>
      <c r="I34" s="43">
        <f>'$$xSchpostCouncil 22'!I34/'$$xSchpostCouncil 22'!I$123</f>
        <v>0</v>
      </c>
      <c r="J34" s="43">
        <f>'$$xSchpostCouncil 22'!J34/'$$xSchpostCouncil 22'!J$123</f>
        <v>3</v>
      </c>
      <c r="K34" s="43">
        <f>'$$xSchpostCouncil 22'!K34/'$$xSchpostCouncil 22'!K$123</f>
        <v>1</v>
      </c>
      <c r="L34" s="6">
        <v>17368</v>
      </c>
      <c r="M34" s="43">
        <f>'$$xSchpostCouncil 22'!M34/'$$xSchpostCouncil 22'!M$123</f>
        <v>1</v>
      </c>
      <c r="N34" s="43">
        <f>'$$xSchpostCouncil 22'!N34/'$$xSchpostCouncil 22'!N$123</f>
        <v>1</v>
      </c>
      <c r="O34" s="43">
        <f>'$$xSchpostCouncil 22'!O34/'$$xSchpostCouncil 22'!O$123</f>
        <v>9</v>
      </c>
      <c r="P34" s="43">
        <f>'$$xSchpostCouncil 22'!P34/'$$xSchpostCouncil 22'!P$123</f>
        <v>1</v>
      </c>
      <c r="Q34" s="43">
        <f>'$$xSchpostCouncil 22'!Q34/'$$xSchpostCouncil 22'!Q$123</f>
        <v>0</v>
      </c>
      <c r="R34" s="43">
        <f>'$$xSchpostCouncil 22'!R34/'$$xSchpostCouncil 22'!R$123</f>
        <v>0</v>
      </c>
      <c r="S34" s="43">
        <f>'$$xSchpostCouncil 22'!S34/'$$xSchpostCouncil 22'!S$123</f>
        <v>0</v>
      </c>
      <c r="T34" s="43">
        <f>'$$xSchpostCouncil 22'!T34/'$$xSchpostCouncil 22'!T$123</f>
        <v>0</v>
      </c>
      <c r="U34" s="6"/>
      <c r="V34" s="6"/>
      <c r="W34" s="6"/>
      <c r="X34" s="6"/>
      <c r="Y34" s="43">
        <f>'$$xSchpostCouncil 22'!Y34/'$$xSchpostCouncil 22'!Y$123</f>
        <v>0</v>
      </c>
      <c r="Z34" s="43">
        <f>'$$xSchpostCouncil 22'!Z34/'$$xSchpostCouncil 22'!Z$123</f>
        <v>0</v>
      </c>
      <c r="AA34" s="43">
        <f>'$$xSchpostCouncil 22'!AA34/'$$xSchpostCouncil 22'!AA$123</f>
        <v>2</v>
      </c>
      <c r="AB34" s="43">
        <f>'$$xSchpostCouncil 22'!AB34/'$$xSchpostCouncil 22'!AB$123</f>
        <v>0</v>
      </c>
      <c r="AC34" s="6"/>
      <c r="AD34" s="6">
        <v>286613</v>
      </c>
      <c r="AE34" s="43">
        <f>'$$xSchpostCouncil 22'!AE34/'$$xSchpostCouncil 22'!AE$123</f>
        <v>2</v>
      </c>
      <c r="AF34" s="43">
        <f>'$$xSchpostCouncil 22'!AF34/'$$xSchpostCouncil 22'!AF$123</f>
        <v>4</v>
      </c>
      <c r="AG34" s="43">
        <f>'$$xSchpostCouncil 22'!AG34/'$$xSchpostCouncil 22'!AG$123</f>
        <v>14</v>
      </c>
      <c r="AH34" s="43">
        <f>'$$xSchpostCouncil 22'!AH34/'$$xSchpostCouncil 22'!AH$123</f>
        <v>0</v>
      </c>
      <c r="AI34" s="43">
        <f>'$$xSchpostCouncil 22'!AI34/'$$xSchpostCouncil 22'!AI$123</f>
        <v>5</v>
      </c>
      <c r="AJ34" s="43"/>
      <c r="AK34" s="43">
        <f>'$$xSchpostCouncil 22'!AK34/'$$xSchpostCouncil 22'!AK$123</f>
        <v>1</v>
      </c>
      <c r="AL34" s="43">
        <f>'$$xSchpostCouncil 22'!AL34/'$$xSchpostCouncil 22'!AL$123</f>
        <v>0</v>
      </c>
      <c r="AM34" s="6"/>
      <c r="AN34" s="6"/>
      <c r="AO34" s="43">
        <f>'$$xSchpostCouncil 22'!AO34/'$$xSchpostCouncil 22'!AO$123</f>
        <v>1</v>
      </c>
      <c r="AP34" s="43">
        <f>'$$xSchpostCouncil 22'!AP34/'$$xSchpostCouncil 22'!AP$123</f>
        <v>0</v>
      </c>
      <c r="AQ34" s="43">
        <f>'$$xSchpostCouncil 22'!AQ34/'$$xSchpostCouncil 22'!AQ$123</f>
        <v>0</v>
      </c>
      <c r="AR34" s="6"/>
      <c r="AS34" s="6"/>
      <c r="AT34" s="6"/>
      <c r="AU34" s="6"/>
      <c r="AV34" s="6">
        <v>75000</v>
      </c>
      <c r="AW34" s="6">
        <v>0</v>
      </c>
      <c r="AX34" s="6"/>
      <c r="AY34" s="6"/>
      <c r="AZ34" s="6">
        <v>520350.64</v>
      </c>
      <c r="BA34" s="6"/>
      <c r="BB34" s="6"/>
      <c r="BC34" s="43">
        <f>'$$xSchpostCouncil 22'!BC34/'$$xSchpostCouncil 22'!BC$123</f>
        <v>0</v>
      </c>
      <c r="BD34" s="43">
        <f>'$$xSchpostCouncil 22'!BD34/'$$xSchpostCouncil 22'!BD$123</f>
        <v>1</v>
      </c>
      <c r="BE34" s="6">
        <v>12216</v>
      </c>
      <c r="BF34" s="6">
        <v>23000</v>
      </c>
      <c r="BG34" s="6">
        <v>32000</v>
      </c>
      <c r="BH34" s="43">
        <f>'$$xSchpostCouncil 22'!BH34/'$$xSchpostCouncil 22'!BH$123</f>
        <v>0</v>
      </c>
      <c r="BI34" s="6"/>
      <c r="BJ34" s="43">
        <f>'$$xSchpostCouncil 22'!BJ34/'$$xSchpostCouncil 22'!BJ$123</f>
        <v>0</v>
      </c>
      <c r="BK34" s="6"/>
      <c r="BL34" s="43">
        <f>'$$xSchpostCouncil 22'!BL34/'$$xSchpostCouncil 22'!BL$123</f>
        <v>0</v>
      </c>
      <c r="BM34" s="6"/>
      <c r="BN34" s="43">
        <f>'$$xSchpostCouncil 22'!BN34/'$$xSchpostCouncil 22'!BN$123</f>
        <v>1</v>
      </c>
      <c r="BO34" s="43">
        <f>'$$xSchpostCouncil 22'!BO34/'$$xSchpostCouncil 22'!BO$123</f>
        <v>0</v>
      </c>
      <c r="BP34" s="6">
        <v>113946</v>
      </c>
      <c r="BQ34" s="6">
        <v>5000</v>
      </c>
      <c r="BR34" s="6"/>
      <c r="BS34" s="6"/>
      <c r="BT34" s="6"/>
      <c r="BU34" s="43">
        <f>'$$xSchpostCouncil 22'!BU34/'$$xSchpostCouncil 22'!BU$123</f>
        <v>2.6315789473684209E-2</v>
      </c>
      <c r="BV34" s="43">
        <f>'$$xSchpostCouncil 22'!BV34/'$$xSchpostCouncil 22'!BV$123</f>
        <v>1</v>
      </c>
      <c r="BW34" s="43">
        <f>'$$xSchpostCouncil 22'!BW34/'$$xSchpostCouncil 22'!BW$123</f>
        <v>0</v>
      </c>
      <c r="BX34" s="6">
        <v>1260215</v>
      </c>
      <c r="BY34" s="6"/>
      <c r="BZ34" s="6"/>
      <c r="CA34" s="6"/>
      <c r="CB34" s="6"/>
      <c r="CC34" s="6"/>
      <c r="CD34" s="6"/>
      <c r="CE34" s="6"/>
      <c r="CF34" s="6">
        <v>112569</v>
      </c>
      <c r="CI34" s="43">
        <f>'$$xSchpostCouncil 22'!CI34/'$$xSchpostCouncil 22'!CI$123</f>
        <v>1</v>
      </c>
      <c r="CJ34" s="43">
        <f>'$$xSchpostCouncil 22'!CJ34/'$$xSchpostCouncil 22'!CJ$123</f>
        <v>2.2000012777185058</v>
      </c>
      <c r="CK34" s="43">
        <f>'$$xSchpostCouncil 22'!CK34/'$$xSchpostCouncil 22'!CK$123</f>
        <v>1</v>
      </c>
      <c r="CL34" s="43">
        <f>'$$xSchpostCouncil 22'!CL34/'$$xSchpostCouncil 22'!CL$123</f>
        <v>1.6999940757123957</v>
      </c>
      <c r="CM34" s="43">
        <f>'$$xSchpostCouncil 22'!CM34/'$$xSchpostCouncil 22'!CM$123</f>
        <v>1</v>
      </c>
      <c r="CN34" s="43">
        <f>'$$xSchpostCouncil 22'!CN34/'$$xSchpostCouncil 22'!CN$123</f>
        <v>1</v>
      </c>
      <c r="CO34" s="43">
        <f>'$$xSchpostCouncil 22'!CO34/'$$xSchpostCouncil 22'!CO$123</f>
        <v>0</v>
      </c>
      <c r="CP34" s="43">
        <f>'$$xSchpostCouncil 22'!CP34/'$$xSchpostCouncil 22'!CP$123</f>
        <v>0</v>
      </c>
      <c r="CQ34" s="43">
        <f>'$$xSchpostCouncil 22'!CQ34/'$$xSchpostCouncil 22'!CQ$123</f>
        <v>27.583333866339757</v>
      </c>
      <c r="CR34" s="43">
        <f>'$$xSchpostCouncil 22'!CR34/'$$xSchpostCouncil 22'!CR$123</f>
        <v>0</v>
      </c>
      <c r="CS34" s="6"/>
      <c r="CT34" s="6"/>
      <c r="CU34" s="6"/>
      <c r="CV34" s="43">
        <f>'$$xSchpostCouncil 22'!CV34/'$$xSchpostCouncil 22'!CV$123</f>
        <v>1</v>
      </c>
      <c r="CW34" s="43">
        <f>'$$xSchpostCouncil 22'!CW34/'$$xSchpostCouncil 22'!CW$123</f>
        <v>0</v>
      </c>
      <c r="CX34" s="6">
        <v>20877</v>
      </c>
      <c r="CY34" s="6"/>
      <c r="CZ34" s="6"/>
      <c r="DB34" s="43">
        <f>'$$xSchpostCouncil 22'!DB34/'$$xSchpostCouncil 22'!DB$123</f>
        <v>0</v>
      </c>
      <c r="DC34" s="43">
        <f>'$$xSchpostCouncil 22'!DC34/'$$xSchpostCouncil 22'!DC$123</f>
        <v>0</v>
      </c>
      <c r="DF34" s="43">
        <f>'$$xSchpostCouncil 22'!DF34/'$$xSchpostCouncil 22'!DF$123</f>
        <v>0</v>
      </c>
      <c r="DG34" s="43">
        <f>'$$xSchpostCouncil 22'!DG34/'$$xSchpostCouncil 22'!DG$123</f>
        <v>0</v>
      </c>
      <c r="DH34" s="43">
        <f>'$$xSchpostCouncil 22'!DH34/'$$xSchpostCouncil 22'!DH$123</f>
        <v>7.6766666666666659</v>
      </c>
      <c r="DI34" s="43">
        <f>'$$xSchpostCouncil 22'!DI34/'$$xSchpostCouncil 22'!DI$123</f>
        <v>0</v>
      </c>
      <c r="DJ34" s="43">
        <f>'$$xSchpostCouncil 22'!DJ34/'$$xSchpostCouncil 22'!DJ$123</f>
        <v>0</v>
      </c>
      <c r="DK34" s="43">
        <f>'$$xSchpostCouncil 22'!DK34/'$$xSchpostCouncil 22'!DK$123</f>
        <v>0</v>
      </c>
      <c r="DL34" s="6">
        <v>8978</v>
      </c>
      <c r="DM34" s="6"/>
      <c r="DN34" s="43">
        <f>'$$xSchpostCouncil 22'!DN34/'$$xSchpostCouncil 22'!DN$123</f>
        <v>1</v>
      </c>
      <c r="DO34" s="6"/>
      <c r="DP34" s="6">
        <v>52125</v>
      </c>
      <c r="DU34" s="6">
        <f>VLOOKUP($A34,[3]Totals!$B$2:$K$119,10,FALSE)</f>
        <v>270835.06</v>
      </c>
      <c r="DV34" s="6">
        <f>VLOOKUP($A34,[3]Totals!$B$2:$K$119,9,FALSE)</f>
        <v>112569</v>
      </c>
    </row>
    <row r="35" spans="1:126" x14ac:dyDescent="0.2">
      <c r="A35" s="3">
        <v>457</v>
      </c>
      <c r="B35" s="2" t="s">
        <v>94</v>
      </c>
      <c r="C35" t="s">
        <v>1</v>
      </c>
      <c r="D35">
        <v>6</v>
      </c>
      <c r="E35" s="8">
        <v>770</v>
      </c>
      <c r="F35" s="7">
        <v>0.72499999999999998</v>
      </c>
      <c r="G35">
        <v>558</v>
      </c>
      <c r="H35" s="43">
        <f>'$$xSchpostCouncil 22'!H35/'$$xSchpostCouncil 22'!H$123</f>
        <v>1</v>
      </c>
      <c r="I35" s="43">
        <f>'$$xSchpostCouncil 22'!I35/'$$xSchpostCouncil 22'!I$123</f>
        <v>0</v>
      </c>
      <c r="J35" s="43">
        <f>'$$xSchpostCouncil 22'!J35/'$$xSchpostCouncil 22'!J$123</f>
        <v>3.5</v>
      </c>
      <c r="K35" s="43">
        <f>'$$xSchpostCouncil 22'!K35/'$$xSchpostCouncil 22'!K$123</f>
        <v>1</v>
      </c>
      <c r="L35" s="6">
        <v>17681</v>
      </c>
      <c r="M35" s="43">
        <f>'$$xSchpostCouncil 22'!M35/'$$xSchpostCouncil 22'!M$123</f>
        <v>1</v>
      </c>
      <c r="N35" s="43">
        <f>'$$xSchpostCouncil 22'!N35/'$$xSchpostCouncil 22'!N$123</f>
        <v>1</v>
      </c>
      <c r="O35" s="43">
        <f>'$$xSchpostCouncil 22'!O35/'$$xSchpostCouncil 22'!O$123</f>
        <v>8</v>
      </c>
      <c r="P35" s="43">
        <f>'$$xSchpostCouncil 22'!P35/'$$xSchpostCouncil 22'!P$123</f>
        <v>1</v>
      </c>
      <c r="Q35" s="43">
        <f>'$$xSchpostCouncil 22'!Q35/'$$xSchpostCouncil 22'!Q$123</f>
        <v>0</v>
      </c>
      <c r="R35" s="43">
        <f>'$$xSchpostCouncil 22'!R35/'$$xSchpostCouncil 22'!R$123</f>
        <v>0</v>
      </c>
      <c r="S35" s="43">
        <f>'$$xSchpostCouncil 22'!S35/'$$xSchpostCouncil 22'!S$123</f>
        <v>0</v>
      </c>
      <c r="T35" s="43">
        <f>'$$xSchpostCouncil 22'!T35/'$$xSchpostCouncil 22'!T$123</f>
        <v>0</v>
      </c>
      <c r="U35" s="6"/>
      <c r="V35" s="6"/>
      <c r="W35" s="6"/>
      <c r="X35" s="6"/>
      <c r="Y35" s="43">
        <f>'$$xSchpostCouncil 22'!Y35/'$$xSchpostCouncil 22'!Y$123</f>
        <v>0</v>
      </c>
      <c r="Z35" s="43">
        <f>'$$xSchpostCouncil 22'!Z35/'$$xSchpostCouncil 22'!Z$123</f>
        <v>0</v>
      </c>
      <c r="AA35" s="43">
        <f>'$$xSchpostCouncil 22'!AA35/'$$xSchpostCouncil 22'!AA$123</f>
        <v>2</v>
      </c>
      <c r="AB35" s="43">
        <f>'$$xSchpostCouncil 22'!AB35/'$$xSchpostCouncil 22'!AB$123</f>
        <v>0</v>
      </c>
      <c r="AC35" s="6"/>
      <c r="AD35" s="6">
        <v>335849</v>
      </c>
      <c r="AE35" s="43">
        <f>'$$xSchpostCouncil 22'!AE35/'$$xSchpostCouncil 22'!AE$123</f>
        <v>2</v>
      </c>
      <c r="AF35" s="43">
        <f>'$$xSchpostCouncil 22'!AF35/'$$xSchpostCouncil 22'!AF$123</f>
        <v>4</v>
      </c>
      <c r="AG35" s="43">
        <f>'$$xSchpostCouncil 22'!AG35/'$$xSchpostCouncil 22'!AG$123</f>
        <v>21</v>
      </c>
      <c r="AH35" s="43">
        <f>'$$xSchpostCouncil 22'!AH35/'$$xSchpostCouncil 22'!AH$123</f>
        <v>0</v>
      </c>
      <c r="AI35" s="43">
        <f>'$$xSchpostCouncil 22'!AI35/'$$xSchpostCouncil 22'!AI$123</f>
        <v>9</v>
      </c>
      <c r="AJ35" s="43"/>
      <c r="AK35" s="43">
        <f>'$$xSchpostCouncil 22'!AK35/'$$xSchpostCouncil 22'!AK$123</f>
        <v>1</v>
      </c>
      <c r="AL35" s="43">
        <f>'$$xSchpostCouncil 22'!AL35/'$$xSchpostCouncil 22'!AL$123</f>
        <v>0</v>
      </c>
      <c r="AM35" s="6"/>
      <c r="AN35" s="6"/>
      <c r="AO35" s="43">
        <f>'$$xSchpostCouncil 22'!AO35/'$$xSchpostCouncil 22'!AO$123</f>
        <v>2</v>
      </c>
      <c r="AP35" s="43">
        <f>'$$xSchpostCouncil 22'!AP35/'$$xSchpostCouncil 22'!AP$123</f>
        <v>0</v>
      </c>
      <c r="AQ35" s="43">
        <f>'$$xSchpostCouncil 22'!AQ35/'$$xSchpostCouncil 22'!AQ$123</f>
        <v>0</v>
      </c>
      <c r="AR35" s="6"/>
      <c r="AS35" s="6"/>
      <c r="AT35" s="6"/>
      <c r="AU35" s="6"/>
      <c r="AV35" s="6">
        <v>65000</v>
      </c>
      <c r="AW35" s="6">
        <v>0</v>
      </c>
      <c r="AX35" s="6"/>
      <c r="AY35" s="6"/>
      <c r="AZ35" s="6">
        <v>579320.16</v>
      </c>
      <c r="BA35" s="6"/>
      <c r="BB35" s="6"/>
      <c r="BC35" s="43">
        <f>'$$xSchpostCouncil 22'!BC35/'$$xSchpostCouncil 22'!BC$123</f>
        <v>0</v>
      </c>
      <c r="BD35" s="43">
        <f>'$$xSchpostCouncil 22'!BD35/'$$xSchpostCouncil 22'!BD$123</f>
        <v>1</v>
      </c>
      <c r="BE35" s="6">
        <v>25716</v>
      </c>
      <c r="BF35" s="6">
        <v>19500</v>
      </c>
      <c r="BG35" s="6">
        <v>32000</v>
      </c>
      <c r="BH35" s="43">
        <f>'$$xSchpostCouncil 22'!BH35/'$$xSchpostCouncil 22'!BH$123</f>
        <v>1</v>
      </c>
      <c r="BI35" s="6">
        <v>32187</v>
      </c>
      <c r="BJ35" s="43">
        <f>'$$xSchpostCouncil 22'!BJ35/'$$xSchpostCouncil 22'!BJ$123</f>
        <v>0</v>
      </c>
      <c r="BK35" s="6"/>
      <c r="BL35" s="43">
        <f>'$$xSchpostCouncil 22'!BL35/'$$xSchpostCouncil 22'!BL$123</f>
        <v>0</v>
      </c>
      <c r="BM35" s="6"/>
      <c r="BN35" s="43">
        <f>'$$xSchpostCouncil 22'!BN35/'$$xSchpostCouncil 22'!BN$123</f>
        <v>0</v>
      </c>
      <c r="BO35" s="43">
        <f>'$$xSchpostCouncil 22'!BO35/'$$xSchpostCouncil 22'!BO$123</f>
        <v>0</v>
      </c>
      <c r="BP35" s="6"/>
      <c r="BQ35" s="6"/>
      <c r="BR35" s="6"/>
      <c r="BS35" s="6"/>
      <c r="BT35" s="6"/>
      <c r="BU35" s="43">
        <f>'$$xSchpostCouncil 22'!BU35/'$$xSchpostCouncil 22'!BU$123</f>
        <v>2.6315789473684209E-2</v>
      </c>
      <c r="BV35" s="43">
        <f>'$$xSchpostCouncil 22'!BV35/'$$xSchpostCouncil 22'!BV$123</f>
        <v>0</v>
      </c>
      <c r="BW35" s="43">
        <f>'$$xSchpostCouncil 22'!BW35/'$$xSchpostCouncil 22'!BW$123</f>
        <v>0</v>
      </c>
      <c r="BX35" s="6">
        <v>1566147</v>
      </c>
      <c r="BY35" s="6"/>
      <c r="BZ35" s="6"/>
      <c r="CA35" s="6"/>
      <c r="CB35" s="6"/>
      <c r="CC35" s="6"/>
      <c r="CD35" s="6"/>
      <c r="CE35" s="6"/>
      <c r="CF35" s="6">
        <v>0</v>
      </c>
      <c r="CI35" s="43">
        <f>'$$xSchpostCouncil 22'!CI35/'$$xSchpostCouncil 22'!CI$123</f>
        <v>1</v>
      </c>
      <c r="CJ35" s="43">
        <f>'$$xSchpostCouncil 22'!CJ35/'$$xSchpostCouncil 22'!CJ$123</f>
        <v>2.5999974445629883</v>
      </c>
      <c r="CK35" s="43">
        <f>'$$xSchpostCouncil 22'!CK35/'$$xSchpostCouncil 22'!CK$123</f>
        <v>1</v>
      </c>
      <c r="CL35" s="43">
        <f>'$$xSchpostCouncil 22'!CL35/'$$xSchpostCouncil 22'!CL$123</f>
        <v>1.8999980252374653</v>
      </c>
      <c r="CM35" s="43">
        <f>'$$xSchpostCouncil 22'!CM35/'$$xSchpostCouncil 22'!CM$123</f>
        <v>1</v>
      </c>
      <c r="CN35" s="43">
        <f>'$$xSchpostCouncil 22'!CN35/'$$xSchpostCouncil 22'!CN$123</f>
        <v>1</v>
      </c>
      <c r="CO35" s="43">
        <f>'$$xSchpostCouncil 22'!CO35/'$$xSchpostCouncil 22'!CO$123</f>
        <v>0</v>
      </c>
      <c r="CP35" s="43">
        <f>'$$xSchpostCouncil 22'!CP35/'$$xSchpostCouncil 22'!CP$123</f>
        <v>0</v>
      </c>
      <c r="CQ35" s="43">
        <f>'$$xSchpostCouncil 22'!CQ35/'$$xSchpostCouncil 22'!CQ$123</f>
        <v>32.083333155664526</v>
      </c>
      <c r="CR35" s="43">
        <f>'$$xSchpostCouncil 22'!CR35/'$$xSchpostCouncil 22'!CR$123</f>
        <v>0</v>
      </c>
      <c r="CS35" s="6"/>
      <c r="CT35" s="6"/>
      <c r="CU35" s="6"/>
      <c r="CV35" s="43">
        <f>'$$xSchpostCouncil 22'!CV35/'$$xSchpostCouncil 22'!CV$123</f>
        <v>1</v>
      </c>
      <c r="CW35" s="43">
        <f>'$$xSchpostCouncil 22'!CW35/'$$xSchpostCouncil 22'!CW$123</f>
        <v>0</v>
      </c>
      <c r="CX35" s="6">
        <v>32912</v>
      </c>
      <c r="CY35" s="6"/>
      <c r="CZ35" s="6"/>
      <c r="DB35" s="43">
        <f>'$$xSchpostCouncil 22'!DB35/'$$xSchpostCouncil 22'!DB$123</f>
        <v>0</v>
      </c>
      <c r="DC35" s="43">
        <f>'$$xSchpostCouncil 22'!DC35/'$$xSchpostCouncil 22'!DC$123</f>
        <v>0</v>
      </c>
      <c r="DF35" s="43">
        <f>'$$xSchpostCouncil 22'!DF35/'$$xSchpostCouncil 22'!DF$123</f>
        <v>0</v>
      </c>
      <c r="DG35" s="43">
        <f>'$$xSchpostCouncil 22'!DG35/'$$xSchpostCouncil 22'!DG$123</f>
        <v>0</v>
      </c>
      <c r="DH35" s="43">
        <f>'$$xSchpostCouncil 22'!DH35/'$$xSchpostCouncil 22'!DH$123</f>
        <v>6.4966666666666626</v>
      </c>
      <c r="DI35" s="43">
        <f>'$$xSchpostCouncil 22'!DI35/'$$xSchpostCouncil 22'!DI$123</f>
        <v>0</v>
      </c>
      <c r="DJ35" s="43">
        <f>'$$xSchpostCouncil 22'!DJ35/'$$xSchpostCouncil 22'!DJ$123</f>
        <v>1</v>
      </c>
      <c r="DK35" s="43">
        <f>'$$xSchpostCouncil 22'!DK35/'$$xSchpostCouncil 22'!DK$123</f>
        <v>0</v>
      </c>
      <c r="DL35" s="6">
        <v>11173</v>
      </c>
      <c r="DM35" s="6"/>
      <c r="DN35" s="43">
        <f>'$$xSchpostCouncil 22'!DN35/'$$xSchpostCouncil 22'!DN$123</f>
        <v>1</v>
      </c>
      <c r="DO35" s="6"/>
      <c r="DP35" s="6">
        <v>22425</v>
      </c>
      <c r="DU35" s="6">
        <f>VLOOKUP($A35,[3]Totals!$B$2:$K$119,10,FALSE)</f>
        <v>350511.84</v>
      </c>
      <c r="DV35" s="6">
        <f>VLOOKUP($A35,[3]Totals!$B$2:$K$119,9,FALSE)</f>
        <v>117087</v>
      </c>
    </row>
    <row r="36" spans="1:126" x14ac:dyDescent="0.2">
      <c r="A36" s="3">
        <v>232</v>
      </c>
      <c r="B36" s="2" t="s">
        <v>93</v>
      </c>
      <c r="C36" t="s">
        <v>7</v>
      </c>
      <c r="D36">
        <v>3</v>
      </c>
      <c r="E36" s="8">
        <v>444</v>
      </c>
      <c r="F36" s="7">
        <v>5.1999999999999998E-2</v>
      </c>
      <c r="G36">
        <v>23</v>
      </c>
      <c r="H36" s="43">
        <f>'$$xSchpostCouncil 22'!H36/'$$xSchpostCouncil 22'!H$123</f>
        <v>1</v>
      </c>
      <c r="I36" s="43">
        <f>'$$xSchpostCouncil 22'!I36/'$$xSchpostCouncil 22'!I$123</f>
        <v>0</v>
      </c>
      <c r="J36" s="43">
        <f>'$$xSchpostCouncil 22'!J36/'$$xSchpostCouncil 22'!J$123</f>
        <v>0</v>
      </c>
      <c r="K36" s="43">
        <f>'$$xSchpostCouncil 22'!K36/'$$xSchpostCouncil 22'!K$123</f>
        <v>1</v>
      </c>
      <c r="L36" s="6">
        <v>5123</v>
      </c>
      <c r="M36" s="43">
        <f>'$$xSchpostCouncil 22'!M36/'$$xSchpostCouncil 22'!M$123</f>
        <v>1</v>
      </c>
      <c r="N36" s="43">
        <f>'$$xSchpostCouncil 22'!N36/'$$xSchpostCouncil 22'!N$123</f>
        <v>1</v>
      </c>
      <c r="O36" s="43">
        <f>'$$xSchpostCouncil 22'!O36/'$$xSchpostCouncil 22'!O$123</f>
        <v>2</v>
      </c>
      <c r="P36" s="43">
        <f>'$$xSchpostCouncil 22'!P36/'$$xSchpostCouncil 22'!P$123</f>
        <v>1</v>
      </c>
      <c r="Q36" s="43">
        <f>'$$xSchpostCouncil 22'!Q36/'$$xSchpostCouncil 22'!Q$123</f>
        <v>0</v>
      </c>
      <c r="R36" s="43">
        <f>'$$xSchpostCouncil 22'!R36/'$$xSchpostCouncil 22'!R$123</f>
        <v>0</v>
      </c>
      <c r="S36" s="43">
        <f>'$$xSchpostCouncil 22'!S36/'$$xSchpostCouncil 22'!S$123</f>
        <v>2</v>
      </c>
      <c r="T36" s="43">
        <f>'$$xSchpostCouncil 22'!T36/'$$xSchpostCouncil 22'!T$123</f>
        <v>2</v>
      </c>
      <c r="U36" s="6"/>
      <c r="V36" s="6"/>
      <c r="W36" s="6"/>
      <c r="X36" s="6"/>
      <c r="Y36" s="43">
        <f>'$$xSchpostCouncil 22'!Y36/'$$xSchpostCouncil 22'!Y$123</f>
        <v>0</v>
      </c>
      <c r="Z36" s="43">
        <f>'$$xSchpostCouncil 22'!Z36/'$$xSchpostCouncil 22'!Z$123</f>
        <v>0</v>
      </c>
      <c r="AA36" s="43">
        <f>'$$xSchpostCouncil 22'!AA36/'$$xSchpostCouncil 22'!AA$123</f>
        <v>0</v>
      </c>
      <c r="AB36" s="43">
        <f>'$$xSchpostCouncil 22'!AB36/'$$xSchpostCouncil 22'!AB$123</f>
        <v>0</v>
      </c>
      <c r="AC36" s="6"/>
      <c r="AD36" s="6">
        <v>145825</v>
      </c>
      <c r="AE36" s="43">
        <f>'$$xSchpostCouncil 22'!AE36/'$$xSchpostCouncil 22'!AE$123</f>
        <v>1</v>
      </c>
      <c r="AF36" s="43">
        <f>'$$xSchpostCouncil 22'!AF36/'$$xSchpostCouncil 22'!AF$123</f>
        <v>1</v>
      </c>
      <c r="AG36" s="43">
        <f>'$$xSchpostCouncil 22'!AG36/'$$xSchpostCouncil 22'!AG$123</f>
        <v>4</v>
      </c>
      <c r="AH36" s="43">
        <f>'$$xSchpostCouncil 22'!AH36/'$$xSchpostCouncil 22'!AH$123</f>
        <v>0</v>
      </c>
      <c r="AI36" s="43">
        <f>'$$xSchpostCouncil 22'!AI36/'$$xSchpostCouncil 22'!AI$123</f>
        <v>1</v>
      </c>
      <c r="AJ36" s="43"/>
      <c r="AK36" s="43">
        <f>'$$xSchpostCouncil 22'!AK36/'$$xSchpostCouncil 22'!AK$123</f>
        <v>0</v>
      </c>
      <c r="AL36" s="43">
        <f>'$$xSchpostCouncil 22'!AL36/'$$xSchpostCouncil 22'!AL$123</f>
        <v>0</v>
      </c>
      <c r="AM36" s="6"/>
      <c r="AN36" s="6"/>
      <c r="AO36" s="43">
        <f>'$$xSchpostCouncil 22'!AO36/'$$xSchpostCouncil 22'!AO$123</f>
        <v>3</v>
      </c>
      <c r="AP36" s="43">
        <f>'$$xSchpostCouncil 22'!AP36/'$$xSchpostCouncil 22'!AP$123</f>
        <v>0</v>
      </c>
      <c r="AQ36" s="43">
        <f>'$$xSchpostCouncil 22'!AQ36/'$$xSchpostCouncil 22'!AQ$123</f>
        <v>0</v>
      </c>
      <c r="AR36" s="6"/>
      <c r="AS36" s="6"/>
      <c r="AT36" s="6"/>
      <c r="AU36" s="6"/>
      <c r="AV36" s="6"/>
      <c r="AW36" s="6">
        <v>0</v>
      </c>
      <c r="AX36" s="6"/>
      <c r="AY36" s="6"/>
      <c r="AZ36" s="6">
        <v>0</v>
      </c>
      <c r="BA36" s="6"/>
      <c r="BB36" s="6">
        <v>11100</v>
      </c>
      <c r="BC36" s="43">
        <f>'$$xSchpostCouncil 22'!BC36/'$$xSchpostCouncil 22'!BC$123</f>
        <v>0</v>
      </c>
      <c r="BD36" s="43">
        <f>'$$xSchpostCouncil 22'!BD36/'$$xSchpostCouncil 22'!BD$123</f>
        <v>0</v>
      </c>
      <c r="BE36" s="6"/>
      <c r="BF36" s="6"/>
      <c r="BG36" s="6"/>
      <c r="BH36" s="43">
        <f>'$$xSchpostCouncil 22'!BH36/'$$xSchpostCouncil 22'!BH$123</f>
        <v>0</v>
      </c>
      <c r="BI36" s="6"/>
      <c r="BJ36" s="43">
        <f>'$$xSchpostCouncil 22'!BJ36/'$$xSchpostCouncil 22'!BJ$123</f>
        <v>0</v>
      </c>
      <c r="BK36" s="6"/>
      <c r="BL36" s="43">
        <f>'$$xSchpostCouncil 22'!BL36/'$$xSchpostCouncil 22'!BL$123</f>
        <v>0</v>
      </c>
      <c r="BM36" s="6"/>
      <c r="BN36" s="43">
        <f>'$$xSchpostCouncil 22'!BN36/'$$xSchpostCouncil 22'!BN$123</f>
        <v>0</v>
      </c>
      <c r="BO36" s="43">
        <f>'$$xSchpostCouncil 22'!BO36/'$$xSchpostCouncil 22'!BO$123</f>
        <v>0</v>
      </c>
      <c r="BP36" s="6"/>
      <c r="BQ36" s="6"/>
      <c r="BR36" s="6"/>
      <c r="BS36" s="6"/>
      <c r="BT36" s="6"/>
      <c r="BU36" s="43">
        <f>'$$xSchpostCouncil 22'!BU36/'$$xSchpostCouncil 22'!BU$123</f>
        <v>0</v>
      </c>
      <c r="BV36" s="43">
        <f>'$$xSchpostCouncil 22'!BV36/'$$xSchpostCouncil 22'!BV$123</f>
        <v>0</v>
      </c>
      <c r="BW36" s="43">
        <f>'$$xSchpostCouncil 22'!BW36/'$$xSchpostCouncil 22'!BW$123</f>
        <v>0</v>
      </c>
      <c r="BX36" s="6">
        <v>58225</v>
      </c>
      <c r="BY36" s="6"/>
      <c r="BZ36" s="6"/>
      <c r="CA36" s="6"/>
      <c r="CB36" s="6"/>
      <c r="CC36" s="6"/>
      <c r="CD36" s="6"/>
      <c r="CE36" s="6"/>
      <c r="CF36" s="6">
        <v>0</v>
      </c>
      <c r="CI36" s="43">
        <f>'$$xSchpostCouncil 22'!CI36/'$$xSchpostCouncil 22'!CI$123</f>
        <v>1</v>
      </c>
      <c r="CJ36" s="43">
        <f>'$$xSchpostCouncil 22'!CJ36/'$$xSchpostCouncil 22'!CJ$123</f>
        <v>1.1000006388592529</v>
      </c>
      <c r="CK36" s="43">
        <f>'$$xSchpostCouncil 22'!CK36/'$$xSchpostCouncil 22'!CK$123</f>
        <v>1</v>
      </c>
      <c r="CL36" s="43">
        <f>'$$xSchpostCouncil 22'!CL36/'$$xSchpostCouncil 22'!CL$123</f>
        <v>1.1000019747625347</v>
      </c>
      <c r="CM36" s="43">
        <f>'$$xSchpostCouncil 22'!CM36/'$$xSchpostCouncil 22'!CM$123</f>
        <v>0</v>
      </c>
      <c r="CN36" s="43">
        <f>'$$xSchpostCouncil 22'!CN36/'$$xSchpostCouncil 22'!CN$123</f>
        <v>0</v>
      </c>
      <c r="CO36" s="43">
        <f>'$$xSchpostCouncil 22'!CO36/'$$xSchpostCouncil 22'!CO$123</f>
        <v>4.500004441720189</v>
      </c>
      <c r="CP36" s="43">
        <f>'$$xSchpostCouncil 22'!CP36/'$$xSchpostCouncil 22'!CP$123</f>
        <v>3</v>
      </c>
      <c r="CQ36" s="43">
        <f>'$$xSchpostCouncil 22'!CQ36/'$$xSchpostCouncil 22'!CQ$123</f>
        <v>19</v>
      </c>
      <c r="CR36" s="43">
        <f>'$$xSchpostCouncil 22'!CR36/'$$xSchpostCouncil 22'!CR$123</f>
        <v>0</v>
      </c>
      <c r="CS36" s="6"/>
      <c r="CT36" s="6"/>
      <c r="CU36" s="6"/>
      <c r="CV36" s="43">
        <f>'$$xSchpostCouncil 22'!CV36/'$$xSchpostCouncil 22'!CV$123</f>
        <v>0</v>
      </c>
      <c r="CW36" s="43">
        <f>'$$xSchpostCouncil 22'!CW36/'$$xSchpostCouncil 22'!CW$123</f>
        <v>0</v>
      </c>
      <c r="CX36" s="6">
        <v>0</v>
      </c>
      <c r="CY36" s="6"/>
      <c r="CZ36" s="6"/>
      <c r="DB36" s="43">
        <f>'$$xSchpostCouncil 22'!DB36/'$$xSchpostCouncil 22'!DB$123</f>
        <v>0</v>
      </c>
      <c r="DC36" s="43">
        <f>'$$xSchpostCouncil 22'!DC36/'$$xSchpostCouncil 22'!DC$123</f>
        <v>0</v>
      </c>
      <c r="DF36" s="43">
        <f>'$$xSchpostCouncil 22'!DF36/'$$xSchpostCouncil 22'!DF$123</f>
        <v>0</v>
      </c>
      <c r="DG36" s="43">
        <f>'$$xSchpostCouncil 22'!DG36/'$$xSchpostCouncil 22'!DG$123</f>
        <v>0</v>
      </c>
      <c r="DH36" s="43">
        <f>'$$xSchpostCouncil 22'!DH36/'$$xSchpostCouncil 22'!DH$123</f>
        <v>0</v>
      </c>
      <c r="DI36" s="43">
        <f>'$$xSchpostCouncil 22'!DI36/'$$xSchpostCouncil 22'!DI$123</f>
        <v>0</v>
      </c>
      <c r="DJ36" s="43">
        <f>'$$xSchpostCouncil 22'!DJ36/'$$xSchpostCouncil 22'!DJ$123</f>
        <v>0</v>
      </c>
      <c r="DK36" s="43">
        <f>'$$xSchpostCouncil 22'!DK36/'$$xSchpostCouncil 22'!DK$123</f>
        <v>0</v>
      </c>
      <c r="DL36" s="6"/>
      <c r="DM36" s="6"/>
      <c r="DN36" s="43">
        <f>'$$xSchpostCouncil 22'!DN36/'$$xSchpostCouncil 22'!DN$123</f>
        <v>0</v>
      </c>
      <c r="DO36" s="6"/>
      <c r="DP36" s="6">
        <v>3150</v>
      </c>
      <c r="DU36" s="6">
        <f>VLOOKUP($A36,[3]Totals!$B$2:$K$119,10,FALSE)</f>
        <v>59973.69</v>
      </c>
      <c r="DV36" s="6">
        <f>VLOOKUP($A36,[3]Totals!$B$2:$K$119,9,FALSE)</f>
        <v>56284.5</v>
      </c>
    </row>
    <row r="37" spans="1:126" x14ac:dyDescent="0.2">
      <c r="A37" s="3">
        <v>407</v>
      </c>
      <c r="B37" s="2" t="s">
        <v>92</v>
      </c>
      <c r="C37" t="s">
        <v>19</v>
      </c>
      <c r="D37">
        <v>6</v>
      </c>
      <c r="E37" s="8">
        <v>278</v>
      </c>
      <c r="F37" s="7">
        <v>0.59</v>
      </c>
      <c r="G37">
        <v>164</v>
      </c>
      <c r="H37" s="43">
        <f>'$$xSchpostCouncil 22'!H37/'$$xSchpostCouncil 22'!H$123</f>
        <v>1</v>
      </c>
      <c r="I37" s="43">
        <f>'$$xSchpostCouncil 22'!I37/'$$xSchpostCouncil 22'!I$123</f>
        <v>1</v>
      </c>
      <c r="J37" s="43">
        <f>'$$xSchpostCouncil 22'!J37/'$$xSchpostCouncil 22'!J$123</f>
        <v>0</v>
      </c>
      <c r="K37" s="43">
        <f>'$$xSchpostCouncil 22'!K37/'$$xSchpostCouncil 22'!K$123</f>
        <v>1</v>
      </c>
      <c r="L37" s="6">
        <v>8080</v>
      </c>
      <c r="M37" s="43">
        <f>'$$xSchpostCouncil 22'!M37/'$$xSchpostCouncil 22'!M$123</f>
        <v>1</v>
      </c>
      <c r="N37" s="43">
        <f>'$$xSchpostCouncil 22'!N37/'$$xSchpostCouncil 22'!N$123</f>
        <v>1</v>
      </c>
      <c r="O37" s="43">
        <f>'$$xSchpostCouncil 22'!O37/'$$xSchpostCouncil 22'!O$123</f>
        <v>3</v>
      </c>
      <c r="P37" s="43">
        <f>'$$xSchpostCouncil 22'!P37/'$$xSchpostCouncil 22'!P$123</f>
        <v>1.0000006218408266</v>
      </c>
      <c r="Q37" s="43">
        <f>'$$xSchpostCouncil 22'!Q37/'$$xSchpostCouncil 22'!Q$123</f>
        <v>0</v>
      </c>
      <c r="R37" s="43">
        <f>'$$xSchpostCouncil 22'!R37/'$$xSchpostCouncil 22'!R$123</f>
        <v>0</v>
      </c>
      <c r="S37" s="43">
        <f>'$$xSchpostCouncil 22'!S37/'$$xSchpostCouncil 22'!S$123</f>
        <v>0</v>
      </c>
      <c r="T37" s="43">
        <f>'$$xSchpostCouncil 22'!T37/'$$xSchpostCouncil 22'!T$123</f>
        <v>0</v>
      </c>
      <c r="U37" s="6"/>
      <c r="V37" s="6"/>
      <c r="W37" s="6"/>
      <c r="X37" s="6"/>
      <c r="Y37" s="43">
        <f>'$$xSchpostCouncil 22'!Y37/'$$xSchpostCouncil 22'!Y$123</f>
        <v>0</v>
      </c>
      <c r="Z37" s="43">
        <f>'$$xSchpostCouncil 22'!Z37/'$$xSchpostCouncil 22'!Z$123</f>
        <v>0</v>
      </c>
      <c r="AA37" s="43">
        <f>'$$xSchpostCouncil 22'!AA37/'$$xSchpostCouncil 22'!AA$123</f>
        <v>0</v>
      </c>
      <c r="AB37" s="43">
        <f>'$$xSchpostCouncil 22'!AB37/'$$xSchpostCouncil 22'!AB$123</f>
        <v>0</v>
      </c>
      <c r="AC37" s="6"/>
      <c r="AD37" s="6">
        <v>121019</v>
      </c>
      <c r="AE37" s="43">
        <f>'$$xSchpostCouncil 22'!AE37/'$$xSchpostCouncil 22'!AE$123</f>
        <v>1</v>
      </c>
      <c r="AF37" s="43">
        <f>'$$xSchpostCouncil 22'!AF37/'$$xSchpostCouncil 22'!AF$123</f>
        <v>1</v>
      </c>
      <c r="AG37" s="43">
        <f>'$$xSchpostCouncil 22'!AG37/'$$xSchpostCouncil 22'!AG$123</f>
        <v>10</v>
      </c>
      <c r="AH37" s="43">
        <f>'$$xSchpostCouncil 22'!AH37/'$$xSchpostCouncil 22'!AH$123</f>
        <v>0</v>
      </c>
      <c r="AI37" s="43">
        <f>'$$xSchpostCouncil 22'!AI37/'$$xSchpostCouncil 22'!AI$123</f>
        <v>6</v>
      </c>
      <c r="AJ37" s="43"/>
      <c r="AK37" s="43">
        <f>'$$xSchpostCouncil 22'!AK37/'$$xSchpostCouncil 22'!AK$123</f>
        <v>0</v>
      </c>
      <c r="AL37" s="43">
        <f>'$$xSchpostCouncil 22'!AL37/'$$xSchpostCouncil 22'!AL$123</f>
        <v>0</v>
      </c>
      <c r="AM37" s="6"/>
      <c r="AN37" s="6"/>
      <c r="AO37" s="43">
        <f>'$$xSchpostCouncil 22'!AO37/'$$xSchpostCouncil 22'!AO$123</f>
        <v>0</v>
      </c>
      <c r="AP37" s="43">
        <f>'$$xSchpostCouncil 22'!AP37/'$$xSchpostCouncil 22'!AP$123</f>
        <v>0.14000302036972878</v>
      </c>
      <c r="AQ37" s="43">
        <f>'$$xSchpostCouncil 22'!AQ37/'$$xSchpostCouncil 22'!AQ$123</f>
        <v>0</v>
      </c>
      <c r="AR37" s="6"/>
      <c r="AS37" s="6"/>
      <c r="AT37" s="6"/>
      <c r="AU37" s="6"/>
      <c r="AV37" s="6"/>
      <c r="AW37" s="6">
        <v>0</v>
      </c>
      <c r="AX37" s="6"/>
      <c r="AY37" s="6"/>
      <c r="AZ37" s="6">
        <v>126055.54999999999</v>
      </c>
      <c r="BA37" s="6"/>
      <c r="BB37" s="6"/>
      <c r="BC37" s="43">
        <f>'$$xSchpostCouncil 22'!BC37/'$$xSchpostCouncil 22'!BC$123</f>
        <v>0</v>
      </c>
      <c r="BD37" s="43">
        <f>'$$xSchpostCouncil 22'!BD37/'$$xSchpostCouncil 22'!BD$123</f>
        <v>0</v>
      </c>
      <c r="BE37" s="6"/>
      <c r="BF37" s="6"/>
      <c r="BG37" s="6"/>
      <c r="BH37" s="43">
        <f>'$$xSchpostCouncil 22'!BH37/'$$xSchpostCouncil 22'!BH$123</f>
        <v>1</v>
      </c>
      <c r="BI37" s="6">
        <v>23387</v>
      </c>
      <c r="BJ37" s="43">
        <f>'$$xSchpostCouncil 22'!BJ37/'$$xSchpostCouncil 22'!BJ$123</f>
        <v>0</v>
      </c>
      <c r="BK37" s="6"/>
      <c r="BL37" s="43">
        <f>'$$xSchpostCouncil 22'!BL37/'$$xSchpostCouncil 22'!BL$123</f>
        <v>0</v>
      </c>
      <c r="BM37" s="6"/>
      <c r="BN37" s="43">
        <f>'$$xSchpostCouncil 22'!BN37/'$$xSchpostCouncil 22'!BN$123</f>
        <v>0</v>
      </c>
      <c r="BO37" s="43">
        <f>'$$xSchpostCouncil 22'!BO37/'$$xSchpostCouncil 22'!BO$123</f>
        <v>0</v>
      </c>
      <c r="BP37" s="6"/>
      <c r="BQ37" s="6"/>
      <c r="BR37" s="6"/>
      <c r="BS37" s="6"/>
      <c r="BT37" s="6"/>
      <c r="BU37" s="43">
        <f>'$$xSchpostCouncil 22'!BU37/'$$xSchpostCouncil 22'!BU$123</f>
        <v>0</v>
      </c>
      <c r="BV37" s="43">
        <f>'$$xSchpostCouncil 22'!BV37/'$$xSchpostCouncil 22'!BV$123</f>
        <v>0</v>
      </c>
      <c r="BW37" s="43">
        <f>'$$xSchpostCouncil 22'!BW37/'$$xSchpostCouncil 22'!BW$123</f>
        <v>0</v>
      </c>
      <c r="BX37" s="6">
        <v>415169</v>
      </c>
      <c r="BY37" s="6"/>
      <c r="BZ37" s="6"/>
      <c r="CA37" s="6"/>
      <c r="CB37" s="6"/>
      <c r="CC37" s="6"/>
      <c r="CD37" s="6"/>
      <c r="CE37" s="6"/>
      <c r="CF37" s="6">
        <v>56285</v>
      </c>
      <c r="CI37" s="43">
        <f>'$$xSchpostCouncil 22'!CI37/'$$xSchpostCouncil 22'!CI$123</f>
        <v>1</v>
      </c>
      <c r="CJ37" s="43">
        <f>'$$xSchpostCouncil 22'!CJ37/'$$xSchpostCouncil 22'!CJ$123</f>
        <v>0.89999936114074708</v>
      </c>
      <c r="CK37" s="43">
        <f>'$$xSchpostCouncil 22'!CK37/'$$xSchpostCouncil 22'!CK$123</f>
        <v>0.50000550182110282</v>
      </c>
      <c r="CL37" s="43">
        <f>'$$xSchpostCouncil 22'!CL37/'$$xSchpostCouncil 22'!CL$123</f>
        <v>0</v>
      </c>
      <c r="CM37" s="43">
        <f>'$$xSchpostCouncil 22'!CM37/'$$xSchpostCouncil 22'!CM$123</f>
        <v>0</v>
      </c>
      <c r="CN37" s="43">
        <f>'$$xSchpostCouncil 22'!CN37/'$$xSchpostCouncil 22'!CN$123</f>
        <v>0</v>
      </c>
      <c r="CO37" s="43">
        <f>'$$xSchpostCouncil 22'!CO37/'$$xSchpostCouncil 22'!CO$123</f>
        <v>0</v>
      </c>
      <c r="CP37" s="43">
        <f>'$$xSchpostCouncil 22'!CP37/'$$xSchpostCouncil 22'!CP$123</f>
        <v>0</v>
      </c>
      <c r="CQ37" s="43">
        <f>'$$xSchpostCouncil 22'!CQ37/'$$xSchpostCouncil 22'!CQ$123</f>
        <v>12.599996446623848</v>
      </c>
      <c r="CR37" s="43">
        <f>'$$xSchpostCouncil 22'!CR37/'$$xSchpostCouncil 22'!CR$123</f>
        <v>2</v>
      </c>
      <c r="CS37" s="6">
        <v>23000</v>
      </c>
      <c r="CT37" s="6"/>
      <c r="CU37" s="6">
        <v>100000</v>
      </c>
      <c r="CV37" s="43">
        <f>'$$xSchpostCouncil 22'!CV37/'$$xSchpostCouncil 22'!CV$123</f>
        <v>0</v>
      </c>
      <c r="CW37" s="43">
        <f>'$$xSchpostCouncil 22'!CW37/'$$xSchpostCouncil 22'!CW$123</f>
        <v>0</v>
      </c>
      <c r="CX37" s="6">
        <v>0</v>
      </c>
      <c r="CY37" s="6"/>
      <c r="CZ37" s="6"/>
      <c r="DB37" s="43">
        <f>'$$xSchpostCouncil 22'!DB37/'$$xSchpostCouncil 22'!DB$123</f>
        <v>0</v>
      </c>
      <c r="DC37" s="43">
        <f>'$$xSchpostCouncil 22'!DC37/'$$xSchpostCouncil 22'!DC$123</f>
        <v>0</v>
      </c>
      <c r="DF37" s="43">
        <f>'$$xSchpostCouncil 22'!DF37/'$$xSchpostCouncil 22'!DF$123</f>
        <v>0</v>
      </c>
      <c r="DG37" s="43">
        <f>'$$xSchpostCouncil 22'!DG37/'$$xSchpostCouncil 22'!DG$123</f>
        <v>0</v>
      </c>
      <c r="DH37" s="43">
        <f>'$$xSchpostCouncil 22'!DH37/'$$xSchpostCouncil 22'!DH$123</f>
        <v>0</v>
      </c>
      <c r="DI37" s="43">
        <f>'$$xSchpostCouncil 22'!DI37/'$$xSchpostCouncil 22'!DI$123</f>
        <v>1</v>
      </c>
      <c r="DJ37" s="43">
        <f>'$$xSchpostCouncil 22'!DJ37/'$$xSchpostCouncil 22'!DJ$123</f>
        <v>0</v>
      </c>
      <c r="DK37" s="43">
        <f>'$$xSchpostCouncil 22'!DK37/'$$xSchpostCouncil 22'!DK$123</f>
        <v>1</v>
      </c>
      <c r="DL37" s="6">
        <v>3282</v>
      </c>
      <c r="DM37" s="6"/>
      <c r="DN37" s="43">
        <f>'$$xSchpostCouncil 22'!DN37/'$$xSchpostCouncil 22'!DN$123</f>
        <v>0</v>
      </c>
      <c r="DO37" s="6"/>
      <c r="DP37" s="6">
        <v>39000</v>
      </c>
      <c r="DU37" s="6">
        <f>VLOOKUP($A37,[3]Totals!$B$2:$K$119,10,FALSE)</f>
        <v>117646.79</v>
      </c>
      <c r="DV37" s="6">
        <f>VLOOKUP($A37,[3]Totals!$B$2:$K$119,9,FALSE)</f>
        <v>112569</v>
      </c>
    </row>
    <row r="38" spans="1:126" x14ac:dyDescent="0.2">
      <c r="A38" s="3">
        <v>471</v>
      </c>
      <c r="B38" s="2" t="s">
        <v>91</v>
      </c>
      <c r="C38" t="s">
        <v>1</v>
      </c>
      <c r="D38">
        <v>3</v>
      </c>
      <c r="E38" s="1">
        <v>611</v>
      </c>
      <c r="F38" s="4">
        <v>0.314</v>
      </c>
      <c r="G38">
        <v>192</v>
      </c>
      <c r="H38" s="43">
        <f>'$$xSchpostCouncil 22'!H38/'$$xSchpostCouncil 22'!H$123</f>
        <v>1</v>
      </c>
      <c r="I38" s="43">
        <f>'$$xSchpostCouncil 22'!I38/'$$xSchpostCouncil 22'!I$123</f>
        <v>0</v>
      </c>
      <c r="J38" s="43">
        <f>'$$xSchpostCouncil 22'!J38/'$$xSchpostCouncil 22'!J$123</f>
        <v>2.5</v>
      </c>
      <c r="K38" s="43">
        <f>'$$xSchpostCouncil 22'!K38/'$$xSchpostCouncil 22'!K$123</f>
        <v>1</v>
      </c>
      <c r="L38" s="6">
        <v>15287</v>
      </c>
      <c r="M38" s="43">
        <f>'$$xSchpostCouncil 22'!M38/'$$xSchpostCouncil 22'!M$123</f>
        <v>1</v>
      </c>
      <c r="N38" s="43">
        <f>'$$xSchpostCouncil 22'!N38/'$$xSchpostCouncil 22'!N$123</f>
        <v>1</v>
      </c>
      <c r="O38" s="43">
        <f>'$$xSchpostCouncil 22'!O38/'$$xSchpostCouncil 22'!O$123</f>
        <v>5</v>
      </c>
      <c r="P38" s="43">
        <f>'$$xSchpostCouncil 22'!P38/'$$xSchpostCouncil 22'!P$123</f>
        <v>1</v>
      </c>
      <c r="Q38" s="43">
        <f>'$$xSchpostCouncil 22'!Q38/'$$xSchpostCouncil 22'!Q$123</f>
        <v>0</v>
      </c>
      <c r="R38" s="43">
        <f>'$$xSchpostCouncil 22'!R38/'$$xSchpostCouncil 22'!R$123</f>
        <v>0</v>
      </c>
      <c r="S38" s="43">
        <f>'$$xSchpostCouncil 22'!S38/'$$xSchpostCouncil 22'!S$123</f>
        <v>0</v>
      </c>
      <c r="T38" s="43">
        <f>'$$xSchpostCouncil 22'!T38/'$$xSchpostCouncil 22'!T$123</f>
        <v>0</v>
      </c>
      <c r="U38" s="6"/>
      <c r="V38" s="6"/>
      <c r="W38" s="6"/>
      <c r="X38" s="6"/>
      <c r="Y38" s="43">
        <f>'$$xSchpostCouncil 22'!Y38/'$$xSchpostCouncil 22'!Y$123</f>
        <v>0</v>
      </c>
      <c r="Z38" s="43">
        <f>'$$xSchpostCouncil 22'!Z38/'$$xSchpostCouncil 22'!Z$123</f>
        <v>0</v>
      </c>
      <c r="AA38" s="43">
        <f>'$$xSchpostCouncil 22'!AA38/'$$xSchpostCouncil 22'!AA$123</f>
        <v>0</v>
      </c>
      <c r="AB38" s="43">
        <f>'$$xSchpostCouncil 22'!AB38/'$$xSchpostCouncil 22'!AB$123</f>
        <v>0</v>
      </c>
      <c r="AC38" s="6"/>
      <c r="AD38" s="6">
        <v>230839</v>
      </c>
      <c r="AE38" s="43">
        <f>'$$xSchpostCouncil 22'!AE38/'$$xSchpostCouncil 22'!AE$123</f>
        <v>1</v>
      </c>
      <c r="AF38" s="43">
        <f>'$$xSchpostCouncil 22'!AF38/'$$xSchpostCouncil 22'!AF$123</f>
        <v>1</v>
      </c>
      <c r="AG38" s="43">
        <f>'$$xSchpostCouncil 22'!AG38/'$$xSchpostCouncil 22'!AG$123</f>
        <v>4</v>
      </c>
      <c r="AH38" s="43">
        <f>'$$xSchpostCouncil 22'!AH38/'$$xSchpostCouncil 22'!AH$123</f>
        <v>0</v>
      </c>
      <c r="AI38" s="43">
        <f>'$$xSchpostCouncil 22'!AI38/'$$xSchpostCouncil 22'!AI$123</f>
        <v>0</v>
      </c>
      <c r="AJ38" s="43"/>
      <c r="AK38" s="43">
        <f>'$$xSchpostCouncil 22'!AK38/'$$xSchpostCouncil 22'!AK$123</f>
        <v>0</v>
      </c>
      <c r="AL38" s="43">
        <f>'$$xSchpostCouncil 22'!AL38/'$$xSchpostCouncil 22'!AL$123</f>
        <v>0</v>
      </c>
      <c r="AM38" s="6"/>
      <c r="AN38" s="6"/>
      <c r="AO38" s="43">
        <f>'$$xSchpostCouncil 22'!AO38/'$$xSchpostCouncil 22'!AO$123</f>
        <v>0</v>
      </c>
      <c r="AP38" s="43">
        <f>'$$xSchpostCouncil 22'!AP38/'$$xSchpostCouncil 22'!AP$123</f>
        <v>0.40999742380229015</v>
      </c>
      <c r="AQ38" s="43">
        <f>'$$xSchpostCouncil 22'!AQ38/'$$xSchpostCouncil 22'!AQ$123</f>
        <v>0</v>
      </c>
      <c r="AR38" s="6"/>
      <c r="AS38" s="6"/>
      <c r="AT38" s="6"/>
      <c r="AU38" s="6"/>
      <c r="AV38" s="6"/>
      <c r="AW38" s="6">
        <v>0</v>
      </c>
      <c r="AX38" s="6"/>
      <c r="AY38" s="6"/>
      <c r="AZ38" s="6">
        <v>0</v>
      </c>
      <c r="BA38" s="6"/>
      <c r="BB38" s="6">
        <v>15275</v>
      </c>
      <c r="BC38" s="43">
        <f>'$$xSchpostCouncil 22'!BC38/'$$xSchpostCouncil 22'!BC$123</f>
        <v>0</v>
      </c>
      <c r="BD38" s="43">
        <f>'$$xSchpostCouncil 22'!BD38/'$$xSchpostCouncil 22'!BD$123</f>
        <v>0</v>
      </c>
      <c r="BE38" s="6"/>
      <c r="BF38" s="6"/>
      <c r="BG38" s="6"/>
      <c r="BH38" s="43">
        <f>'$$xSchpostCouncil 22'!BH38/'$$xSchpostCouncil 22'!BH$123</f>
        <v>0</v>
      </c>
      <c r="BI38" s="6"/>
      <c r="BJ38" s="43">
        <f>'$$xSchpostCouncil 22'!BJ38/'$$xSchpostCouncil 22'!BJ$123</f>
        <v>0</v>
      </c>
      <c r="BK38" s="6"/>
      <c r="BL38" s="43">
        <f>'$$xSchpostCouncil 22'!BL38/'$$xSchpostCouncil 22'!BL$123</f>
        <v>0</v>
      </c>
      <c r="BM38" s="6"/>
      <c r="BN38" s="43">
        <f>'$$xSchpostCouncil 22'!BN38/'$$xSchpostCouncil 22'!BN$123</f>
        <v>0</v>
      </c>
      <c r="BO38" s="43">
        <f>'$$xSchpostCouncil 22'!BO38/'$$xSchpostCouncil 22'!BO$123</f>
        <v>0</v>
      </c>
      <c r="BP38" s="6"/>
      <c r="BQ38" s="6"/>
      <c r="BR38" s="6"/>
      <c r="BS38" s="6">
        <v>3233529</v>
      </c>
      <c r="BT38" s="6"/>
      <c r="BU38" s="43">
        <f>'$$xSchpostCouncil 22'!BU38/'$$xSchpostCouncil 22'!BU$123</f>
        <v>0</v>
      </c>
      <c r="BV38" s="43">
        <f>'$$xSchpostCouncil 22'!BV38/'$$xSchpostCouncil 22'!BV$123</f>
        <v>0</v>
      </c>
      <c r="BW38" s="43">
        <f>'$$xSchpostCouncil 22'!BW38/'$$xSchpostCouncil 22'!BW$123</f>
        <v>0</v>
      </c>
      <c r="BX38" s="6">
        <v>538889.97</v>
      </c>
      <c r="BY38" s="6"/>
      <c r="BZ38" s="6"/>
      <c r="CA38" s="6"/>
      <c r="CB38" s="6"/>
      <c r="CC38" s="6"/>
      <c r="CD38" s="6"/>
      <c r="CE38" s="6"/>
      <c r="CF38" s="6"/>
      <c r="CI38" s="43">
        <f>'$$xSchpostCouncil 22'!CI38/'$$xSchpostCouncil 22'!CI$123</f>
        <v>1</v>
      </c>
      <c r="CJ38" s="43">
        <f>'$$xSchpostCouncil 22'!CJ38/'$$xSchpostCouncil 22'!CJ$123</f>
        <v>2</v>
      </c>
      <c r="CK38" s="43">
        <f>'$$xSchpostCouncil 22'!CK38/'$$xSchpostCouncil 22'!CK$123</f>
        <v>1</v>
      </c>
      <c r="CL38" s="43">
        <f>'$$xSchpostCouncil 22'!CL38/'$$xSchpostCouncil 22'!CL$123</f>
        <v>1.5000098738126739</v>
      </c>
      <c r="CM38" s="43">
        <f>'$$xSchpostCouncil 22'!CM38/'$$xSchpostCouncil 22'!CM$123</f>
        <v>1</v>
      </c>
      <c r="CN38" s="43">
        <f>'$$xSchpostCouncil 22'!CN38/'$$xSchpostCouncil 22'!CN$123</f>
        <v>1</v>
      </c>
      <c r="CO38" s="43">
        <f>'$$xSchpostCouncil 22'!CO38/'$$xSchpostCouncil 22'!CO$123</f>
        <v>0</v>
      </c>
      <c r="CP38" s="43">
        <f>'$$xSchpostCouncil 22'!CP38/'$$xSchpostCouncil 22'!CP$123</f>
        <v>0</v>
      </c>
      <c r="CQ38" s="43">
        <f>'$$xSchpostCouncil 22'!CQ38/'$$xSchpostCouncil 22'!CQ$123</f>
        <v>25.458333333333332</v>
      </c>
      <c r="CR38" s="43">
        <f>'$$xSchpostCouncil 22'!CR38/'$$xSchpostCouncil 22'!CR$123</f>
        <v>0</v>
      </c>
      <c r="CS38" s="6"/>
      <c r="CT38" s="6"/>
      <c r="CU38" s="6"/>
      <c r="CV38" s="43">
        <f>'$$xSchpostCouncil 22'!CV38/'$$xSchpostCouncil 22'!CV$123</f>
        <v>0</v>
      </c>
      <c r="CW38" s="43">
        <f>'$$xSchpostCouncil 22'!CW38/'$$xSchpostCouncil 22'!CW$123</f>
        <v>0</v>
      </c>
      <c r="CX38" s="6">
        <v>0</v>
      </c>
      <c r="CY38" s="6"/>
      <c r="CZ38" s="6"/>
      <c r="DB38" s="43">
        <f>'$$xSchpostCouncil 22'!DB38/'$$xSchpostCouncil 22'!DB$123</f>
        <v>0</v>
      </c>
      <c r="DC38" s="43">
        <f>'$$xSchpostCouncil 22'!DC38/'$$xSchpostCouncil 22'!DC$123</f>
        <v>0</v>
      </c>
      <c r="DF38" s="43">
        <f>'$$xSchpostCouncil 22'!DF38/'$$xSchpostCouncil 22'!DF$123</f>
        <v>0</v>
      </c>
      <c r="DG38" s="43">
        <f>'$$xSchpostCouncil 22'!DG38/'$$xSchpostCouncil 22'!DG$123</f>
        <v>0</v>
      </c>
      <c r="DH38" s="43">
        <f>'$$xSchpostCouncil 22'!DH38/'$$xSchpostCouncil 22'!DH$123</f>
        <v>6.5416666666666679</v>
      </c>
      <c r="DI38" s="43">
        <f>'$$xSchpostCouncil 22'!DI38/'$$xSchpostCouncil 22'!DI$123</f>
        <v>0</v>
      </c>
      <c r="DJ38" s="43">
        <f>'$$xSchpostCouncil 22'!DJ38/'$$xSchpostCouncil 22'!DJ$123</f>
        <v>0</v>
      </c>
      <c r="DK38" s="43">
        <f>'$$xSchpostCouncil 22'!DK38/'$$xSchpostCouncil 22'!DK$123</f>
        <v>0</v>
      </c>
      <c r="DL38" s="6">
        <v>3849</v>
      </c>
      <c r="DM38" s="6"/>
      <c r="DN38" s="43">
        <f>'$$xSchpostCouncil 22'!DN38/'$$xSchpostCouncil 22'!DN$123</f>
        <v>1</v>
      </c>
      <c r="DO38" s="6"/>
      <c r="DP38" s="6">
        <v>20580</v>
      </c>
      <c r="DU38" s="6">
        <f>VLOOKUP($A38,[3]Totals!$B$2:$K$119,10,FALSE)</f>
        <v>94334.7</v>
      </c>
      <c r="DV38" s="6">
        <f>VLOOKUP($A38,[3]Totals!$B$2:$K$119,9,FALSE)</f>
        <v>247569</v>
      </c>
    </row>
    <row r="39" spans="1:126" x14ac:dyDescent="0.2">
      <c r="A39" s="3">
        <v>318</v>
      </c>
      <c r="B39" s="2" t="s">
        <v>90</v>
      </c>
      <c r="C39" t="s">
        <v>4</v>
      </c>
      <c r="D39">
        <v>8</v>
      </c>
      <c r="E39" s="1">
        <v>456</v>
      </c>
      <c r="F39" s="4">
        <v>0.76300000000000001</v>
      </c>
      <c r="G39">
        <v>348</v>
      </c>
      <c r="H39" s="43">
        <f>'$$xSchpostCouncil 22'!H39/'$$xSchpostCouncil 22'!H$123</f>
        <v>1</v>
      </c>
      <c r="I39" s="43">
        <f>'$$xSchpostCouncil 22'!I39/'$$xSchpostCouncil 22'!I$123</f>
        <v>1</v>
      </c>
      <c r="J39" s="43">
        <f>'$$xSchpostCouncil 22'!J39/'$$xSchpostCouncil 22'!J$123</f>
        <v>0</v>
      </c>
      <c r="K39" s="43">
        <f>'$$xSchpostCouncil 22'!K39/'$$xSchpostCouncil 22'!K$123</f>
        <v>1</v>
      </c>
      <c r="L39" s="6">
        <v>7099</v>
      </c>
      <c r="M39" s="43">
        <f>'$$xSchpostCouncil 22'!M39/'$$xSchpostCouncil 22'!M$123</f>
        <v>1</v>
      </c>
      <c r="N39" s="43">
        <f>'$$xSchpostCouncil 22'!N39/'$$xSchpostCouncil 22'!N$123</f>
        <v>1</v>
      </c>
      <c r="O39" s="43">
        <f>'$$xSchpostCouncil 22'!O39/'$$xSchpostCouncil 22'!O$123</f>
        <v>2</v>
      </c>
      <c r="P39" s="43">
        <f>'$$xSchpostCouncil 22'!P39/'$$xSchpostCouncil 22'!P$123</f>
        <v>1</v>
      </c>
      <c r="Q39" s="43">
        <f>'$$xSchpostCouncil 22'!Q39/'$$xSchpostCouncil 22'!Q$123</f>
        <v>3</v>
      </c>
      <c r="R39" s="43">
        <f>'$$xSchpostCouncil 22'!R39/'$$xSchpostCouncil 22'!R$123</f>
        <v>0</v>
      </c>
      <c r="S39" s="43">
        <f>'$$xSchpostCouncil 22'!S39/'$$xSchpostCouncil 22'!S$123</f>
        <v>3</v>
      </c>
      <c r="T39" s="43">
        <f>'$$xSchpostCouncil 22'!T39/'$$xSchpostCouncil 22'!T$123</f>
        <v>6</v>
      </c>
      <c r="U39" s="6"/>
      <c r="V39" s="6"/>
      <c r="W39" s="6"/>
      <c r="X39" s="6"/>
      <c r="Y39" s="43">
        <f>'$$xSchpostCouncil 22'!Y39/'$$xSchpostCouncil 22'!Y$123</f>
        <v>0</v>
      </c>
      <c r="Z39" s="43">
        <f>'$$xSchpostCouncil 22'!Z39/'$$xSchpostCouncil 22'!Z$123</f>
        <v>0</v>
      </c>
      <c r="AA39" s="43">
        <f>'$$xSchpostCouncil 22'!AA39/'$$xSchpostCouncil 22'!AA$123</f>
        <v>0</v>
      </c>
      <c r="AB39" s="43">
        <f>'$$xSchpostCouncil 22'!AB39/'$$xSchpostCouncil 22'!AB$123</f>
        <v>0</v>
      </c>
      <c r="AC39" s="6"/>
      <c r="AD39" s="6">
        <v>170568</v>
      </c>
      <c r="AE39" s="43">
        <f>'$$xSchpostCouncil 22'!AE39/'$$xSchpostCouncil 22'!AE$123</f>
        <v>1</v>
      </c>
      <c r="AF39" s="43">
        <f>'$$xSchpostCouncil 22'!AF39/'$$xSchpostCouncil 22'!AF$123</f>
        <v>2</v>
      </c>
      <c r="AG39" s="43">
        <f>'$$xSchpostCouncil 22'!AG39/'$$xSchpostCouncil 22'!AG$123</f>
        <v>8</v>
      </c>
      <c r="AH39" s="43">
        <f>'$$xSchpostCouncil 22'!AH39/'$$xSchpostCouncil 22'!AH$123</f>
        <v>0</v>
      </c>
      <c r="AI39" s="43">
        <f>'$$xSchpostCouncil 22'!AI39/'$$xSchpostCouncil 22'!AI$123</f>
        <v>4</v>
      </c>
      <c r="AJ39" s="43"/>
      <c r="AK39" s="43">
        <f>'$$xSchpostCouncil 22'!AK39/'$$xSchpostCouncil 22'!AK$123</f>
        <v>0</v>
      </c>
      <c r="AL39" s="43">
        <f>'$$xSchpostCouncil 22'!AL39/'$$xSchpostCouncil 22'!AL$123</f>
        <v>0</v>
      </c>
      <c r="AM39" s="6"/>
      <c r="AN39" s="6"/>
      <c r="AO39" s="43">
        <f>'$$xSchpostCouncil 22'!AO39/'$$xSchpostCouncil 22'!AO$123</f>
        <v>0</v>
      </c>
      <c r="AP39" s="43">
        <f>'$$xSchpostCouncil 22'!AP39/'$$xSchpostCouncil 22'!AP$123</f>
        <v>4.9996002451829544E-2</v>
      </c>
      <c r="AQ39" s="43">
        <f>'$$xSchpostCouncil 22'!AQ39/'$$xSchpostCouncil 22'!AQ$123</f>
        <v>0</v>
      </c>
      <c r="AR39" s="6"/>
      <c r="AS39" s="6">
        <f>54400-27200</f>
        <v>27200</v>
      </c>
      <c r="AT39" s="6">
        <f>54400-27200</f>
        <v>27200</v>
      </c>
      <c r="AU39" s="6">
        <v>10200</v>
      </c>
      <c r="AV39" s="6"/>
      <c r="AW39" s="6">
        <v>54400</v>
      </c>
      <c r="AX39" s="6"/>
      <c r="AY39" s="6"/>
      <c r="AZ39" s="6">
        <v>206766.84000000003</v>
      </c>
      <c r="BA39" s="6"/>
      <c r="BB39" s="6"/>
      <c r="BC39" s="43">
        <f>'$$xSchpostCouncil 22'!BC39/'$$xSchpostCouncil 22'!BC$123</f>
        <v>0</v>
      </c>
      <c r="BD39" s="43">
        <f>'$$xSchpostCouncil 22'!BD39/'$$xSchpostCouncil 22'!BD$123</f>
        <v>0</v>
      </c>
      <c r="BE39" s="6"/>
      <c r="BF39" s="6"/>
      <c r="BG39" s="6"/>
      <c r="BH39" s="43">
        <f>'$$xSchpostCouncil 22'!BH39/'$$xSchpostCouncil 22'!BH$123</f>
        <v>0</v>
      </c>
      <c r="BI39" s="6"/>
      <c r="BJ39" s="43">
        <f>'$$xSchpostCouncil 22'!BJ39/'$$xSchpostCouncil 22'!BJ$123</f>
        <v>0</v>
      </c>
      <c r="BK39" s="6"/>
      <c r="BL39" s="43">
        <f>'$$xSchpostCouncil 22'!BL39/'$$xSchpostCouncil 22'!BL$123</f>
        <v>0</v>
      </c>
      <c r="BM39" s="6"/>
      <c r="BN39" s="43">
        <f>'$$xSchpostCouncil 22'!BN39/'$$xSchpostCouncil 22'!BN$123</f>
        <v>0</v>
      </c>
      <c r="BO39" s="43">
        <f>'$$xSchpostCouncil 22'!BO39/'$$xSchpostCouncil 22'!BO$123</f>
        <v>0</v>
      </c>
      <c r="BP39" s="6"/>
      <c r="BQ39" s="6"/>
      <c r="BR39" s="6">
        <v>13859</v>
      </c>
      <c r="BS39" s="6"/>
      <c r="BT39" s="6"/>
      <c r="BU39" s="43">
        <f>'$$xSchpostCouncil 22'!BU39/'$$xSchpostCouncil 22'!BU$123</f>
        <v>0</v>
      </c>
      <c r="BV39" s="43">
        <f>'$$xSchpostCouncil 22'!BV39/'$$xSchpostCouncil 22'!BV$123</f>
        <v>0</v>
      </c>
      <c r="BW39" s="43">
        <f>'$$xSchpostCouncil 22'!BW39/'$$xSchpostCouncil 22'!BW$123</f>
        <v>0</v>
      </c>
      <c r="BX39" s="6">
        <v>880968.87</v>
      </c>
      <c r="BY39" s="6"/>
      <c r="BZ39" s="6"/>
      <c r="CA39" s="6"/>
      <c r="CB39" s="6"/>
      <c r="CC39" s="6"/>
      <c r="CD39" s="6"/>
      <c r="CE39" s="6">
        <v>112569</v>
      </c>
      <c r="CF39" s="6">
        <v>112569</v>
      </c>
      <c r="CI39" s="43">
        <f>'$$xSchpostCouncil 22'!CI39/'$$xSchpostCouncil 22'!CI$123</f>
        <v>1</v>
      </c>
      <c r="CJ39" s="43">
        <f>'$$xSchpostCouncil 22'!CJ39/'$$xSchpostCouncil 22'!CJ$123</f>
        <v>1.3000019165777588</v>
      </c>
      <c r="CK39" s="43">
        <f>'$$xSchpostCouncil 22'!CK39/'$$xSchpostCouncil 22'!CK$123</f>
        <v>1</v>
      </c>
      <c r="CL39" s="43">
        <f>'$$xSchpostCouncil 22'!CL39/'$$xSchpostCouncil 22'!CL$123</f>
        <v>1.1000019747625347</v>
      </c>
      <c r="CM39" s="43">
        <f>'$$xSchpostCouncil 22'!CM39/'$$xSchpostCouncil 22'!CM$123</f>
        <v>0</v>
      </c>
      <c r="CN39" s="43">
        <f>'$$xSchpostCouncil 22'!CN39/'$$xSchpostCouncil 22'!CN$123</f>
        <v>0</v>
      </c>
      <c r="CO39" s="43">
        <f>'$$xSchpostCouncil 22'!CO39/'$$xSchpostCouncil 22'!CO$123</f>
        <v>3</v>
      </c>
      <c r="CP39" s="43">
        <f>'$$xSchpostCouncil 22'!CP39/'$$xSchpostCouncil 22'!CP$123</f>
        <v>3</v>
      </c>
      <c r="CQ39" s="43">
        <f>'$$xSchpostCouncil 22'!CQ39/'$$xSchpostCouncil 22'!CQ$123</f>
        <v>19.200001776688076</v>
      </c>
      <c r="CR39" s="43">
        <f>'$$xSchpostCouncil 22'!CR39/'$$xSchpostCouncil 22'!CR$123</f>
        <v>2</v>
      </c>
      <c r="CS39" s="6">
        <v>23000</v>
      </c>
      <c r="CT39" s="6"/>
      <c r="CU39" s="6">
        <v>100000</v>
      </c>
      <c r="CV39" s="43">
        <f>'$$xSchpostCouncil 22'!CV39/'$$xSchpostCouncil 22'!CV$123</f>
        <v>0</v>
      </c>
      <c r="CW39" s="43">
        <f>'$$xSchpostCouncil 22'!CW39/'$$xSchpostCouncil 22'!CW$123</f>
        <v>0</v>
      </c>
      <c r="CX39" s="6">
        <v>0</v>
      </c>
      <c r="CY39" s="6"/>
      <c r="CZ39" s="6"/>
      <c r="DB39" s="43">
        <f>'$$xSchpostCouncil 22'!DB39/'$$xSchpostCouncil 22'!DB$123</f>
        <v>0</v>
      </c>
      <c r="DC39" s="43">
        <f>'$$xSchpostCouncil 22'!DC39/'$$xSchpostCouncil 22'!DC$123</f>
        <v>0</v>
      </c>
      <c r="DF39" s="43">
        <f>'$$xSchpostCouncil 22'!DF39/'$$xSchpostCouncil 22'!DF$123</f>
        <v>0</v>
      </c>
      <c r="DG39" s="43">
        <f>'$$xSchpostCouncil 22'!DG39/'$$xSchpostCouncil 22'!DG$123</f>
        <v>0</v>
      </c>
      <c r="DH39" s="43">
        <f>'$$xSchpostCouncil 22'!DH39/'$$xSchpostCouncil 22'!DH$123</f>
        <v>0</v>
      </c>
      <c r="DI39" s="43">
        <f>'$$xSchpostCouncil 22'!DI39/'$$xSchpostCouncil 22'!DI$123</f>
        <v>0</v>
      </c>
      <c r="DJ39" s="43">
        <f>'$$xSchpostCouncil 22'!DJ39/'$$xSchpostCouncil 22'!DJ$123</f>
        <v>0</v>
      </c>
      <c r="DK39" s="43">
        <f>'$$xSchpostCouncil 22'!DK39/'$$xSchpostCouncil 22'!DK$123</f>
        <v>0</v>
      </c>
      <c r="DL39" s="6">
        <v>13969</v>
      </c>
      <c r="DM39" s="6"/>
      <c r="DN39" s="43">
        <f>'$$xSchpostCouncil 22'!DN39/'$$xSchpostCouncil 22'!DN$123</f>
        <v>0</v>
      </c>
      <c r="DO39" s="6"/>
      <c r="DP39" s="6">
        <v>32825</v>
      </c>
      <c r="DU39" s="6">
        <f>VLOOKUP($A39,[3]Totals!$B$2:$K$119,10,FALSE)</f>
        <v>269421.68</v>
      </c>
      <c r="DV39" s="6">
        <f>VLOOKUP($A39,[3]Totals!$B$2:$K$119,9,FALSE)</f>
        <v>142587</v>
      </c>
    </row>
    <row r="40" spans="1:126" x14ac:dyDescent="0.2">
      <c r="A40" s="3">
        <v>238</v>
      </c>
      <c r="B40" s="2" t="s">
        <v>89</v>
      </c>
      <c r="C40" t="s">
        <v>7</v>
      </c>
      <c r="D40">
        <v>8</v>
      </c>
      <c r="E40" s="1">
        <v>239</v>
      </c>
      <c r="F40" s="4">
        <v>0.79500000000000004</v>
      </c>
      <c r="G40">
        <v>190</v>
      </c>
      <c r="H40" s="43">
        <f>'$$xSchpostCouncil 22'!H40/'$$xSchpostCouncil 22'!H$123</f>
        <v>1</v>
      </c>
      <c r="I40" s="43">
        <f>'$$xSchpostCouncil 22'!I40/'$$xSchpostCouncil 22'!I$123</f>
        <v>0</v>
      </c>
      <c r="J40" s="43">
        <f>'$$xSchpostCouncil 22'!J40/'$$xSchpostCouncil 22'!J$123</f>
        <v>0</v>
      </c>
      <c r="K40" s="43">
        <f>'$$xSchpostCouncil 22'!K40/'$$xSchpostCouncil 22'!K$123</f>
        <v>1</v>
      </c>
      <c r="L40" s="6">
        <v>4304</v>
      </c>
      <c r="M40" s="43">
        <f>'$$xSchpostCouncil 22'!M40/'$$xSchpostCouncil 22'!M$123</f>
        <v>1</v>
      </c>
      <c r="N40" s="43">
        <f>'$$xSchpostCouncil 22'!N40/'$$xSchpostCouncil 22'!N$123</f>
        <v>1</v>
      </c>
      <c r="O40" s="43">
        <f>'$$xSchpostCouncil 22'!O40/'$$xSchpostCouncil 22'!O$123</f>
        <v>1</v>
      </c>
      <c r="P40" s="43">
        <f>'$$xSchpostCouncil 22'!P40/'$$xSchpostCouncil 22'!P$123</f>
        <v>1.0000006218408266</v>
      </c>
      <c r="Q40" s="43">
        <f>'$$xSchpostCouncil 22'!Q40/'$$xSchpostCouncil 22'!Q$123</f>
        <v>1</v>
      </c>
      <c r="R40" s="43">
        <f>'$$xSchpostCouncil 22'!R40/'$$xSchpostCouncil 22'!R$123</f>
        <v>1</v>
      </c>
      <c r="S40" s="43">
        <f>'$$xSchpostCouncil 22'!S40/'$$xSchpostCouncil 22'!S$123</f>
        <v>1</v>
      </c>
      <c r="T40" s="43">
        <f>'$$xSchpostCouncil 22'!T40/'$$xSchpostCouncil 22'!T$123</f>
        <v>3</v>
      </c>
      <c r="U40" s="6"/>
      <c r="V40" s="6"/>
      <c r="W40" s="6"/>
      <c r="X40" s="6"/>
      <c r="Y40" s="43">
        <f>'$$xSchpostCouncil 22'!Y40/'$$xSchpostCouncil 22'!Y$123</f>
        <v>0</v>
      </c>
      <c r="Z40" s="43">
        <f>'$$xSchpostCouncil 22'!Z40/'$$xSchpostCouncil 22'!Z$123</f>
        <v>0</v>
      </c>
      <c r="AA40" s="43">
        <f>'$$xSchpostCouncil 22'!AA40/'$$xSchpostCouncil 22'!AA$123</f>
        <v>0</v>
      </c>
      <c r="AB40" s="43">
        <f>'$$xSchpostCouncil 22'!AB40/'$$xSchpostCouncil 22'!AB$123</f>
        <v>0</v>
      </c>
      <c r="AC40" s="6"/>
      <c r="AD40" s="6">
        <v>96578</v>
      </c>
      <c r="AE40" s="43">
        <f>'$$xSchpostCouncil 22'!AE40/'$$xSchpostCouncil 22'!AE$123</f>
        <v>1</v>
      </c>
      <c r="AF40" s="43">
        <f>'$$xSchpostCouncil 22'!AF40/'$$xSchpostCouncil 22'!AF$123</f>
        <v>1</v>
      </c>
      <c r="AG40" s="43">
        <f>'$$xSchpostCouncil 22'!AG40/'$$xSchpostCouncil 22'!AG$123</f>
        <v>6</v>
      </c>
      <c r="AH40" s="43">
        <f>'$$xSchpostCouncil 22'!AH40/'$$xSchpostCouncil 22'!AH$123</f>
        <v>0</v>
      </c>
      <c r="AI40" s="43">
        <f>'$$xSchpostCouncil 22'!AI40/'$$xSchpostCouncil 22'!AI$123</f>
        <v>6</v>
      </c>
      <c r="AJ40" s="43"/>
      <c r="AK40" s="43">
        <f>'$$xSchpostCouncil 22'!AK40/'$$xSchpostCouncil 22'!AK$123</f>
        <v>0</v>
      </c>
      <c r="AL40" s="43">
        <f>'$$xSchpostCouncil 22'!AL40/'$$xSchpostCouncil 22'!AL$123</f>
        <v>0</v>
      </c>
      <c r="AM40" s="6"/>
      <c r="AN40" s="6"/>
      <c r="AO40" s="43">
        <f>'$$xSchpostCouncil 22'!AO40/'$$xSchpostCouncil 22'!AO$123</f>
        <v>0</v>
      </c>
      <c r="AP40" s="43">
        <f>'$$xSchpostCouncil 22'!AP40/'$$xSchpostCouncil 22'!AP$123</f>
        <v>4.9996002451829544E-2</v>
      </c>
      <c r="AQ40" s="43">
        <f>'$$xSchpostCouncil 22'!AQ40/'$$xSchpostCouncil 22'!AQ$123</f>
        <v>0</v>
      </c>
      <c r="AR40" s="6"/>
      <c r="AS40" s="6">
        <f>34000-20400</f>
        <v>13600</v>
      </c>
      <c r="AT40" s="6">
        <f>34000-20400</f>
        <v>13600</v>
      </c>
      <c r="AU40" s="6">
        <v>10200</v>
      </c>
      <c r="AV40" s="6"/>
      <c r="AW40" s="6">
        <v>40800</v>
      </c>
      <c r="AX40" s="6"/>
      <c r="AY40" s="6"/>
      <c r="AZ40" s="6">
        <v>108370.12</v>
      </c>
      <c r="BA40" s="6"/>
      <c r="BB40" s="6"/>
      <c r="BC40" s="43">
        <f>'$$xSchpostCouncil 22'!BC40/'$$xSchpostCouncil 22'!BC$123</f>
        <v>0</v>
      </c>
      <c r="BD40" s="43">
        <f>'$$xSchpostCouncil 22'!BD40/'$$xSchpostCouncil 22'!BD$123</f>
        <v>0</v>
      </c>
      <c r="BE40" s="6"/>
      <c r="BF40" s="6"/>
      <c r="BG40" s="6"/>
      <c r="BH40" s="43">
        <f>'$$xSchpostCouncil 22'!BH40/'$$xSchpostCouncil 22'!BH$123</f>
        <v>0</v>
      </c>
      <c r="BI40" s="6"/>
      <c r="BJ40" s="43">
        <f>'$$xSchpostCouncil 22'!BJ40/'$$xSchpostCouncil 22'!BJ$123</f>
        <v>0</v>
      </c>
      <c r="BK40" s="6"/>
      <c r="BL40" s="43">
        <f>'$$xSchpostCouncil 22'!BL40/'$$xSchpostCouncil 22'!BL$123</f>
        <v>0</v>
      </c>
      <c r="BM40" s="6"/>
      <c r="BN40" s="43">
        <f>'$$xSchpostCouncil 22'!BN40/'$$xSchpostCouncil 22'!BN$123</f>
        <v>0</v>
      </c>
      <c r="BO40" s="43">
        <f>'$$xSchpostCouncil 22'!BO40/'$$xSchpostCouncil 22'!BO$123</f>
        <v>0</v>
      </c>
      <c r="BP40" s="6"/>
      <c r="BQ40" s="6"/>
      <c r="BR40" s="6">
        <v>13859</v>
      </c>
      <c r="BS40" s="6"/>
      <c r="BT40" s="6"/>
      <c r="BU40" s="43">
        <f>'$$xSchpostCouncil 22'!BU40/'$$xSchpostCouncil 22'!BU$123</f>
        <v>0</v>
      </c>
      <c r="BV40" s="43">
        <f>'$$xSchpostCouncil 22'!BV40/'$$xSchpostCouncil 22'!BV$123</f>
        <v>0</v>
      </c>
      <c r="BW40" s="43">
        <f>'$$xSchpostCouncil 22'!BW40/'$$xSchpostCouncil 22'!BW$123</f>
        <v>0</v>
      </c>
      <c r="BX40" s="6">
        <v>480988.64</v>
      </c>
      <c r="BY40" s="6"/>
      <c r="BZ40" s="6"/>
      <c r="CA40" s="6"/>
      <c r="CB40" s="6"/>
      <c r="CC40" s="6">
        <v>65219</v>
      </c>
      <c r="CD40" s="6"/>
      <c r="CE40" s="6">
        <v>112569</v>
      </c>
      <c r="CF40" s="6">
        <v>0</v>
      </c>
      <c r="CI40" s="43">
        <f>'$$xSchpostCouncil 22'!CI40/'$$xSchpostCouncil 22'!CI$123</f>
        <v>1</v>
      </c>
      <c r="CJ40" s="43">
        <f>'$$xSchpostCouncil 22'!CJ40/'$$xSchpostCouncil 22'!CJ$123</f>
        <v>0</v>
      </c>
      <c r="CK40" s="43">
        <f>'$$xSchpostCouncil 22'!CK40/'$$xSchpostCouncil 22'!CK$123</f>
        <v>0.50000550182110282</v>
      </c>
      <c r="CL40" s="43">
        <f>'$$xSchpostCouncil 22'!CL40/'$$xSchpostCouncil 22'!CL$123</f>
        <v>0</v>
      </c>
      <c r="CM40" s="43">
        <f>'$$xSchpostCouncil 22'!CM40/'$$xSchpostCouncil 22'!CM$123</f>
        <v>0</v>
      </c>
      <c r="CN40" s="43">
        <f>'$$xSchpostCouncil 22'!CN40/'$$xSchpostCouncil 22'!CN$123</f>
        <v>0</v>
      </c>
      <c r="CO40" s="43">
        <f>'$$xSchpostCouncil 22'!CO40/'$$xSchpostCouncil 22'!CO$123</f>
        <v>3</v>
      </c>
      <c r="CP40" s="43">
        <f>'$$xSchpostCouncil 22'!CP40/'$$xSchpostCouncil 22'!CP$123</f>
        <v>2</v>
      </c>
      <c r="CQ40" s="43">
        <f>'$$xSchpostCouncil 22'!CQ40/'$$xSchpostCouncil 22'!CQ$123</f>
        <v>11</v>
      </c>
      <c r="CR40" s="43">
        <f>'$$xSchpostCouncil 22'!CR40/'$$xSchpostCouncil 22'!CR$123</f>
        <v>0</v>
      </c>
      <c r="CS40" s="6"/>
      <c r="CT40" s="6"/>
      <c r="CU40" s="6"/>
      <c r="CV40" s="43">
        <f>'$$xSchpostCouncil 22'!CV40/'$$xSchpostCouncil 22'!CV$123</f>
        <v>0</v>
      </c>
      <c r="CW40" s="43">
        <f>'$$xSchpostCouncil 22'!CW40/'$$xSchpostCouncil 22'!CW$123</f>
        <v>0</v>
      </c>
      <c r="CX40" s="6">
        <v>0</v>
      </c>
      <c r="CY40" s="6"/>
      <c r="CZ40" s="6"/>
      <c r="DB40" s="43">
        <f>'$$xSchpostCouncil 22'!DB40/'$$xSchpostCouncil 22'!DB$123</f>
        <v>0</v>
      </c>
      <c r="DC40" s="43">
        <f>'$$xSchpostCouncil 22'!DC40/'$$xSchpostCouncil 22'!DC$123</f>
        <v>0</v>
      </c>
      <c r="DF40" s="43">
        <f>'$$xSchpostCouncil 22'!DF40/'$$xSchpostCouncil 22'!DF$123</f>
        <v>0</v>
      </c>
      <c r="DG40" s="43">
        <f>'$$xSchpostCouncil 22'!DG40/'$$xSchpostCouncil 22'!DG$123</f>
        <v>0</v>
      </c>
      <c r="DH40" s="43">
        <f>'$$xSchpostCouncil 22'!DH40/'$$xSchpostCouncil 22'!DH$123</f>
        <v>0</v>
      </c>
      <c r="DI40" s="43">
        <f>'$$xSchpostCouncil 22'!DI40/'$$xSchpostCouncil 22'!DI$123</f>
        <v>0</v>
      </c>
      <c r="DJ40" s="43">
        <f>'$$xSchpostCouncil 22'!DJ40/'$$xSchpostCouncil 22'!DJ$123</f>
        <v>0</v>
      </c>
      <c r="DK40" s="43">
        <f>'$$xSchpostCouncil 22'!DK40/'$$xSchpostCouncil 22'!DK$123</f>
        <v>0</v>
      </c>
      <c r="DL40" s="6">
        <v>7625</v>
      </c>
      <c r="DM40" s="6"/>
      <c r="DN40" s="43">
        <f>'$$xSchpostCouncil 22'!DN40/'$$xSchpostCouncil 22'!DN$123</f>
        <v>0</v>
      </c>
      <c r="DO40" s="6"/>
      <c r="DP40" s="6">
        <v>26325</v>
      </c>
      <c r="DU40" s="6">
        <f>VLOOKUP($A40,[3]Totals!$B$2:$K$119,10,FALSE)</f>
        <v>151027.20000000001</v>
      </c>
      <c r="DV40" s="6">
        <f>VLOOKUP($A40,[3]Totals!$B$2:$K$119,9,FALSE)</f>
        <v>554794</v>
      </c>
    </row>
    <row r="41" spans="1:126" x14ac:dyDescent="0.2">
      <c r="A41" s="3">
        <v>239</v>
      </c>
      <c r="B41" s="2" t="s">
        <v>88</v>
      </c>
      <c r="C41" t="s">
        <v>7</v>
      </c>
      <c r="D41">
        <v>2</v>
      </c>
      <c r="E41" s="1">
        <v>336</v>
      </c>
      <c r="F41" s="4">
        <v>0.41699999999999998</v>
      </c>
      <c r="G41">
        <v>140</v>
      </c>
      <c r="H41" s="43">
        <f>'$$xSchpostCouncil 22'!H41/'$$xSchpostCouncil 22'!H$123</f>
        <v>1</v>
      </c>
      <c r="I41" s="43">
        <f>'$$xSchpostCouncil 22'!I41/'$$xSchpostCouncil 22'!I$123</f>
        <v>0</v>
      </c>
      <c r="J41" s="43">
        <f>'$$xSchpostCouncil 22'!J41/'$$xSchpostCouncil 22'!J$123</f>
        <v>0</v>
      </c>
      <c r="K41" s="43">
        <f>'$$xSchpostCouncil 22'!K41/'$$xSchpostCouncil 22'!K$123</f>
        <v>1</v>
      </c>
      <c r="L41" s="6">
        <v>5297</v>
      </c>
      <c r="M41" s="43">
        <f>'$$xSchpostCouncil 22'!M41/'$$xSchpostCouncil 22'!M$123</f>
        <v>1</v>
      </c>
      <c r="N41" s="43">
        <f>'$$xSchpostCouncil 22'!N41/'$$xSchpostCouncil 22'!N$123</f>
        <v>1</v>
      </c>
      <c r="O41" s="43">
        <f>'$$xSchpostCouncil 22'!O41/'$$xSchpostCouncil 22'!O$123</f>
        <v>2</v>
      </c>
      <c r="P41" s="43">
        <f>'$$xSchpostCouncil 22'!P41/'$$xSchpostCouncil 22'!P$123</f>
        <v>1</v>
      </c>
      <c r="Q41" s="43">
        <f>'$$xSchpostCouncil 22'!Q41/'$$xSchpostCouncil 22'!Q$123</f>
        <v>2</v>
      </c>
      <c r="R41" s="43">
        <f>'$$xSchpostCouncil 22'!R41/'$$xSchpostCouncil 22'!R$123</f>
        <v>1</v>
      </c>
      <c r="S41" s="43">
        <f>'$$xSchpostCouncil 22'!S41/'$$xSchpostCouncil 22'!S$123</f>
        <v>2</v>
      </c>
      <c r="T41" s="43">
        <f>'$$xSchpostCouncil 22'!T41/'$$xSchpostCouncil 22'!T$123</f>
        <v>5</v>
      </c>
      <c r="U41" s="6"/>
      <c r="V41" s="6"/>
      <c r="W41" s="6"/>
      <c r="X41" s="6"/>
      <c r="Y41" s="43">
        <f>'$$xSchpostCouncil 22'!Y41/'$$xSchpostCouncil 22'!Y$123</f>
        <v>0</v>
      </c>
      <c r="Z41" s="43">
        <f>'$$xSchpostCouncil 22'!Z41/'$$xSchpostCouncil 22'!Z$123</f>
        <v>0</v>
      </c>
      <c r="AA41" s="43">
        <f>'$$xSchpostCouncil 22'!AA41/'$$xSchpostCouncil 22'!AA$123</f>
        <v>0</v>
      </c>
      <c r="AB41" s="43">
        <f>'$$xSchpostCouncil 22'!AB41/'$$xSchpostCouncil 22'!AB$123</f>
        <v>0</v>
      </c>
      <c r="AC41" s="6"/>
      <c r="AD41" s="6">
        <v>132812</v>
      </c>
      <c r="AE41" s="43">
        <f>'$$xSchpostCouncil 22'!AE41/'$$xSchpostCouncil 22'!AE$123</f>
        <v>1</v>
      </c>
      <c r="AF41" s="43">
        <f>'$$xSchpostCouncil 22'!AF41/'$$xSchpostCouncil 22'!AF$123</f>
        <v>1</v>
      </c>
      <c r="AG41" s="43">
        <f>'$$xSchpostCouncil 22'!AG41/'$$xSchpostCouncil 22'!AG$123</f>
        <v>8</v>
      </c>
      <c r="AH41" s="43">
        <f>'$$xSchpostCouncil 22'!AH41/'$$xSchpostCouncil 22'!AH$123</f>
        <v>0</v>
      </c>
      <c r="AI41" s="43">
        <f>'$$xSchpostCouncil 22'!AI41/'$$xSchpostCouncil 22'!AI$123</f>
        <v>6</v>
      </c>
      <c r="AJ41" s="43"/>
      <c r="AK41" s="43">
        <f>'$$xSchpostCouncil 22'!AK41/'$$xSchpostCouncil 22'!AK$123</f>
        <v>0</v>
      </c>
      <c r="AL41" s="43">
        <f>'$$xSchpostCouncil 22'!AL41/'$$xSchpostCouncil 22'!AL$123</f>
        <v>0</v>
      </c>
      <c r="AM41" s="6"/>
      <c r="AN41" s="6"/>
      <c r="AO41" s="43">
        <f>'$$xSchpostCouncil 22'!AO41/'$$xSchpostCouncil 22'!AO$123</f>
        <v>4</v>
      </c>
      <c r="AP41" s="43">
        <f>'$$xSchpostCouncil 22'!AP41/'$$xSchpostCouncil 22'!AP$123</f>
        <v>0</v>
      </c>
      <c r="AQ41" s="43">
        <f>'$$xSchpostCouncil 22'!AQ41/'$$xSchpostCouncil 22'!AQ$123</f>
        <v>0</v>
      </c>
      <c r="AR41" s="6"/>
      <c r="AS41" s="6">
        <f>34000-20400</f>
        <v>13600</v>
      </c>
      <c r="AT41" s="6">
        <f>34000-20400</f>
        <v>13600</v>
      </c>
      <c r="AU41" s="6">
        <v>10200</v>
      </c>
      <c r="AV41" s="6"/>
      <c r="AW41" s="6">
        <v>40800</v>
      </c>
      <c r="AX41" s="6"/>
      <c r="AY41" s="6"/>
      <c r="AZ41" s="6">
        <v>152352.79</v>
      </c>
      <c r="BA41" s="6"/>
      <c r="BB41" s="6"/>
      <c r="BC41" s="43">
        <f>'$$xSchpostCouncil 22'!BC41/'$$xSchpostCouncil 22'!BC$123</f>
        <v>0</v>
      </c>
      <c r="BD41" s="43">
        <f>'$$xSchpostCouncil 22'!BD41/'$$xSchpostCouncil 22'!BD$123</f>
        <v>0</v>
      </c>
      <c r="BE41" s="6"/>
      <c r="BF41" s="6"/>
      <c r="BG41" s="6"/>
      <c r="BH41" s="43">
        <f>'$$xSchpostCouncil 22'!BH41/'$$xSchpostCouncil 22'!BH$123</f>
        <v>0</v>
      </c>
      <c r="BI41" s="6"/>
      <c r="BJ41" s="43">
        <f>'$$xSchpostCouncil 22'!BJ41/'$$xSchpostCouncil 22'!BJ$123</f>
        <v>0</v>
      </c>
      <c r="BK41" s="6"/>
      <c r="BL41" s="43">
        <f>'$$xSchpostCouncil 22'!BL41/'$$xSchpostCouncil 22'!BL$123</f>
        <v>0</v>
      </c>
      <c r="BM41" s="6"/>
      <c r="BN41" s="43">
        <f>'$$xSchpostCouncil 22'!BN41/'$$xSchpostCouncil 22'!BN$123</f>
        <v>0</v>
      </c>
      <c r="BO41" s="43">
        <f>'$$xSchpostCouncil 22'!BO41/'$$xSchpostCouncil 22'!BO$123</f>
        <v>0</v>
      </c>
      <c r="BP41" s="6"/>
      <c r="BQ41" s="6"/>
      <c r="BR41" s="6"/>
      <c r="BS41" s="6"/>
      <c r="BT41" s="6"/>
      <c r="BU41" s="43">
        <f>'$$xSchpostCouncil 22'!BU41/'$$xSchpostCouncil 22'!BU$123</f>
        <v>0</v>
      </c>
      <c r="BV41" s="43">
        <f>'$$xSchpostCouncil 22'!BV41/'$$xSchpostCouncil 22'!BV$123</f>
        <v>0</v>
      </c>
      <c r="BW41" s="43">
        <f>'$$xSchpostCouncil 22'!BW41/'$$xSchpostCouncil 22'!BW$123</f>
        <v>0</v>
      </c>
      <c r="BX41" s="6">
        <v>354412.9</v>
      </c>
      <c r="BY41" s="6"/>
      <c r="BZ41" s="6"/>
      <c r="CA41" s="6"/>
      <c r="CB41" s="6"/>
      <c r="CC41" s="6"/>
      <c r="CD41" s="6"/>
      <c r="CE41" s="6"/>
      <c r="CF41" s="6">
        <v>112569</v>
      </c>
      <c r="CI41" s="43">
        <f>'$$xSchpostCouncil 22'!CI41/'$$xSchpostCouncil 22'!CI$123</f>
        <v>1</v>
      </c>
      <c r="CJ41" s="43">
        <f>'$$xSchpostCouncil 22'!CJ41/'$$xSchpostCouncil 22'!CJ$123</f>
        <v>0.79999872228149416</v>
      </c>
      <c r="CK41" s="43">
        <f>'$$xSchpostCouncil 22'!CK41/'$$xSchpostCouncil 22'!CK$123</f>
        <v>1</v>
      </c>
      <c r="CL41" s="43">
        <f>'$$xSchpostCouncil 22'!CL41/'$$xSchpostCouncil 22'!CL$123</f>
        <v>0</v>
      </c>
      <c r="CM41" s="43">
        <f>'$$xSchpostCouncil 22'!CM41/'$$xSchpostCouncil 22'!CM$123</f>
        <v>0</v>
      </c>
      <c r="CN41" s="43">
        <f>'$$xSchpostCouncil 22'!CN41/'$$xSchpostCouncil 22'!CN$123</f>
        <v>0</v>
      </c>
      <c r="CO41" s="43">
        <f>'$$xSchpostCouncil 22'!CO41/'$$xSchpostCouncil 22'!CO$123</f>
        <v>3</v>
      </c>
      <c r="CP41" s="43">
        <f>'$$xSchpostCouncil 22'!CP41/'$$xSchpostCouncil 22'!CP$123</f>
        <v>3</v>
      </c>
      <c r="CQ41" s="43">
        <f>'$$xSchpostCouncil 22'!CQ41/'$$xSchpostCouncil 22'!CQ$123</f>
        <v>13</v>
      </c>
      <c r="CR41" s="43">
        <f>'$$xSchpostCouncil 22'!CR41/'$$xSchpostCouncil 22'!CR$123</f>
        <v>0</v>
      </c>
      <c r="CS41" s="6"/>
      <c r="CT41" s="6"/>
      <c r="CU41" s="6"/>
      <c r="CV41" s="43">
        <f>'$$xSchpostCouncil 22'!CV41/'$$xSchpostCouncil 22'!CV$123</f>
        <v>0</v>
      </c>
      <c r="CW41" s="43">
        <f>'$$xSchpostCouncil 22'!CW41/'$$xSchpostCouncil 22'!CW$123</f>
        <v>0</v>
      </c>
      <c r="CX41" s="6">
        <v>0</v>
      </c>
      <c r="CY41" s="6"/>
      <c r="CZ41" s="6"/>
      <c r="DB41" s="43">
        <f>'$$xSchpostCouncil 22'!DB41/'$$xSchpostCouncil 22'!DB$123</f>
        <v>0</v>
      </c>
      <c r="DC41" s="43">
        <f>'$$xSchpostCouncil 22'!DC41/'$$xSchpostCouncil 22'!DC$123</f>
        <v>0</v>
      </c>
      <c r="DF41" s="43">
        <f>'$$xSchpostCouncil 22'!DF41/'$$xSchpostCouncil 22'!DF$123</f>
        <v>0</v>
      </c>
      <c r="DG41" s="43">
        <f>'$$xSchpostCouncil 22'!DG41/'$$xSchpostCouncil 22'!DG$123</f>
        <v>0</v>
      </c>
      <c r="DH41" s="43">
        <f>'$$xSchpostCouncil 22'!DH41/'$$xSchpostCouncil 22'!DH$123</f>
        <v>0</v>
      </c>
      <c r="DI41" s="43">
        <f>'$$xSchpostCouncil 22'!DI41/'$$xSchpostCouncil 22'!DI$123</f>
        <v>0</v>
      </c>
      <c r="DJ41" s="43">
        <f>'$$xSchpostCouncil 22'!DJ41/'$$xSchpostCouncil 22'!DJ$123</f>
        <v>0</v>
      </c>
      <c r="DK41" s="43">
        <f>'$$xSchpostCouncil 22'!DK41/'$$xSchpostCouncil 22'!DK$123</f>
        <v>0</v>
      </c>
      <c r="DL41" s="6">
        <v>2797</v>
      </c>
      <c r="DM41" s="6"/>
      <c r="DN41" s="43">
        <f>'$$xSchpostCouncil 22'!DN41/'$$xSchpostCouncil 22'!DN$123</f>
        <v>0</v>
      </c>
      <c r="DO41" s="6"/>
      <c r="DP41" s="6">
        <v>4050</v>
      </c>
      <c r="DU41" s="6">
        <f>VLOOKUP($A41,[3]Totals!$B$2:$K$119,10,FALSE)</f>
        <v>151292.96</v>
      </c>
      <c r="DV41" s="6">
        <f>VLOOKUP($A41,[3]Totals!$B$2:$K$119,9,FALSE)</f>
        <v>50000</v>
      </c>
    </row>
    <row r="42" spans="1:126" x14ac:dyDescent="0.2">
      <c r="A42" s="3">
        <v>227</v>
      </c>
      <c r="B42" s="2" t="s">
        <v>87</v>
      </c>
      <c r="C42" t="s">
        <v>7</v>
      </c>
      <c r="D42">
        <v>1</v>
      </c>
      <c r="E42" s="1">
        <v>410</v>
      </c>
      <c r="F42" s="4">
        <v>0.51200000000000001</v>
      </c>
      <c r="G42">
        <v>210</v>
      </c>
      <c r="H42" s="43">
        <f>'$$xSchpostCouncil 22'!H42/'$$xSchpostCouncil 22'!H$123</f>
        <v>1</v>
      </c>
      <c r="I42" s="43">
        <f>'$$xSchpostCouncil 22'!I42/'$$xSchpostCouncil 22'!I$123</f>
        <v>0</v>
      </c>
      <c r="J42" s="43">
        <f>'$$xSchpostCouncil 22'!J42/'$$xSchpostCouncil 22'!J$123</f>
        <v>0</v>
      </c>
      <c r="K42" s="43">
        <f>'$$xSchpostCouncil 22'!K42/'$$xSchpostCouncil 22'!K$123</f>
        <v>1</v>
      </c>
      <c r="L42" s="6">
        <v>6440</v>
      </c>
      <c r="M42" s="43">
        <f>'$$xSchpostCouncil 22'!M42/'$$xSchpostCouncil 22'!M$123</f>
        <v>1</v>
      </c>
      <c r="N42" s="43">
        <f>'$$xSchpostCouncil 22'!N42/'$$xSchpostCouncil 22'!N$123</f>
        <v>1</v>
      </c>
      <c r="O42" s="43">
        <f>'$$xSchpostCouncil 22'!O42/'$$xSchpostCouncil 22'!O$123</f>
        <v>2</v>
      </c>
      <c r="P42" s="43">
        <f>'$$xSchpostCouncil 22'!P42/'$$xSchpostCouncil 22'!P$123</f>
        <v>1</v>
      </c>
      <c r="Q42" s="43">
        <f>'$$xSchpostCouncil 22'!Q42/'$$xSchpostCouncil 22'!Q$123</f>
        <v>2</v>
      </c>
      <c r="R42" s="43">
        <f>'$$xSchpostCouncil 22'!R42/'$$xSchpostCouncil 22'!R$123</f>
        <v>0</v>
      </c>
      <c r="S42" s="43">
        <f>'$$xSchpostCouncil 22'!S42/'$$xSchpostCouncil 22'!S$123</f>
        <v>3</v>
      </c>
      <c r="T42" s="43">
        <f>'$$xSchpostCouncil 22'!T42/'$$xSchpostCouncil 22'!T$123</f>
        <v>5</v>
      </c>
      <c r="U42" s="6"/>
      <c r="V42" s="6"/>
      <c r="W42" s="6"/>
      <c r="X42" s="6"/>
      <c r="Y42" s="43">
        <f>'$$xSchpostCouncil 22'!Y42/'$$xSchpostCouncil 22'!Y$123</f>
        <v>0</v>
      </c>
      <c r="Z42" s="43">
        <f>'$$xSchpostCouncil 22'!Z42/'$$xSchpostCouncil 22'!Z$123</f>
        <v>0</v>
      </c>
      <c r="AA42" s="43">
        <f>'$$xSchpostCouncil 22'!AA42/'$$xSchpostCouncil 22'!AA$123</f>
        <v>0</v>
      </c>
      <c r="AB42" s="43">
        <f>'$$xSchpostCouncil 22'!AB42/'$$xSchpostCouncil 22'!AB$123</f>
        <v>0</v>
      </c>
      <c r="AC42" s="6"/>
      <c r="AD42" s="6">
        <v>166957</v>
      </c>
      <c r="AE42" s="43">
        <f>'$$xSchpostCouncil 22'!AE42/'$$xSchpostCouncil 22'!AE$123</f>
        <v>1</v>
      </c>
      <c r="AF42" s="43">
        <f>'$$xSchpostCouncil 22'!AF42/'$$xSchpostCouncil 22'!AF$123</f>
        <v>2</v>
      </c>
      <c r="AG42" s="43">
        <f>'$$xSchpostCouncil 22'!AG42/'$$xSchpostCouncil 22'!AG$123</f>
        <v>7</v>
      </c>
      <c r="AH42" s="43">
        <f>'$$xSchpostCouncil 22'!AH42/'$$xSchpostCouncil 22'!AH$123</f>
        <v>0</v>
      </c>
      <c r="AI42" s="43">
        <f>'$$xSchpostCouncil 22'!AI42/'$$xSchpostCouncil 22'!AI$123</f>
        <v>4</v>
      </c>
      <c r="AJ42" s="43"/>
      <c r="AK42" s="43">
        <f>'$$xSchpostCouncil 22'!AK42/'$$xSchpostCouncil 22'!AK$123</f>
        <v>0</v>
      </c>
      <c r="AL42" s="43">
        <f>'$$xSchpostCouncil 22'!AL42/'$$xSchpostCouncil 22'!AL$123</f>
        <v>0</v>
      </c>
      <c r="AM42" s="6"/>
      <c r="AN42" s="6"/>
      <c r="AO42" s="43">
        <f>'$$xSchpostCouncil 22'!AO42/'$$xSchpostCouncil 22'!AO$123</f>
        <v>9</v>
      </c>
      <c r="AP42" s="43">
        <f>'$$xSchpostCouncil 22'!AP42/'$$xSchpostCouncil 22'!AP$123</f>
        <v>0</v>
      </c>
      <c r="AQ42" s="43">
        <f>'$$xSchpostCouncil 22'!AQ42/'$$xSchpostCouncil 22'!AQ$123</f>
        <v>0</v>
      </c>
      <c r="AR42" s="6"/>
      <c r="AS42" s="6"/>
      <c r="AT42" s="6"/>
      <c r="AU42" s="6"/>
      <c r="AV42" s="6"/>
      <c r="AW42" s="6">
        <v>0</v>
      </c>
      <c r="AX42" s="6"/>
      <c r="AY42" s="6"/>
      <c r="AZ42" s="6">
        <v>185906.97</v>
      </c>
      <c r="BA42" s="6"/>
      <c r="BB42" s="6"/>
      <c r="BC42" s="43">
        <f>'$$xSchpostCouncil 22'!BC42/'$$xSchpostCouncil 22'!BC$123</f>
        <v>0</v>
      </c>
      <c r="BD42" s="43">
        <f>'$$xSchpostCouncil 22'!BD42/'$$xSchpostCouncil 22'!BD$123</f>
        <v>0</v>
      </c>
      <c r="BE42" s="6"/>
      <c r="BF42" s="6"/>
      <c r="BG42" s="6"/>
      <c r="BH42" s="43">
        <f>'$$xSchpostCouncil 22'!BH42/'$$xSchpostCouncil 22'!BH$123</f>
        <v>0</v>
      </c>
      <c r="BI42" s="6"/>
      <c r="BJ42" s="43">
        <f>'$$xSchpostCouncil 22'!BJ42/'$$xSchpostCouncil 22'!BJ$123</f>
        <v>1</v>
      </c>
      <c r="BK42" s="6"/>
      <c r="BL42" s="43">
        <f>'$$xSchpostCouncil 22'!BL42/'$$xSchpostCouncil 22'!BL$123</f>
        <v>0</v>
      </c>
      <c r="BM42" s="6"/>
      <c r="BN42" s="43">
        <f>'$$xSchpostCouncil 22'!BN42/'$$xSchpostCouncil 22'!BN$123</f>
        <v>0</v>
      </c>
      <c r="BO42" s="43">
        <f>'$$xSchpostCouncil 22'!BO42/'$$xSchpostCouncil 22'!BO$123</f>
        <v>0</v>
      </c>
      <c r="BP42" s="6"/>
      <c r="BQ42" s="6"/>
      <c r="BR42" s="6"/>
      <c r="BS42" s="6"/>
      <c r="BT42" s="6"/>
      <c r="BU42" s="43">
        <f>'$$xSchpostCouncil 22'!BU42/'$$xSchpostCouncil 22'!BU$123</f>
        <v>0</v>
      </c>
      <c r="BV42" s="43">
        <f>'$$xSchpostCouncil 22'!BV42/'$$xSchpostCouncil 22'!BV$123</f>
        <v>0</v>
      </c>
      <c r="BW42" s="43">
        <f>'$$xSchpostCouncil 22'!BW42/'$$xSchpostCouncil 22'!BW$123</f>
        <v>0</v>
      </c>
      <c r="BX42" s="6">
        <v>531619.5</v>
      </c>
      <c r="BY42" s="6"/>
      <c r="BZ42" s="6"/>
      <c r="CA42" s="6"/>
      <c r="CB42" s="6"/>
      <c r="CC42" s="6"/>
      <c r="CD42" s="6"/>
      <c r="CE42" s="6"/>
      <c r="CF42" s="6">
        <v>0</v>
      </c>
      <c r="CI42" s="43">
        <f>'$$xSchpostCouncil 22'!CI42/'$$xSchpostCouncil 22'!CI$123</f>
        <v>1</v>
      </c>
      <c r="CJ42" s="43">
        <f>'$$xSchpostCouncil 22'!CJ42/'$$xSchpostCouncil 22'!CJ$123</f>
        <v>1</v>
      </c>
      <c r="CK42" s="43">
        <f>'$$xSchpostCouncil 22'!CK42/'$$xSchpostCouncil 22'!CK$123</f>
        <v>1</v>
      </c>
      <c r="CL42" s="43">
        <f>'$$xSchpostCouncil 22'!CL42/'$$xSchpostCouncil 22'!CL$123</f>
        <v>1</v>
      </c>
      <c r="CM42" s="43">
        <f>'$$xSchpostCouncil 22'!CM42/'$$xSchpostCouncil 22'!CM$123</f>
        <v>0</v>
      </c>
      <c r="CN42" s="43">
        <f>'$$xSchpostCouncil 22'!CN42/'$$xSchpostCouncil 22'!CN$123</f>
        <v>0</v>
      </c>
      <c r="CO42" s="43">
        <f>'$$xSchpostCouncil 22'!CO42/'$$xSchpostCouncil 22'!CO$123</f>
        <v>4.500004441720189</v>
      </c>
      <c r="CP42" s="43">
        <f>'$$xSchpostCouncil 22'!CP42/'$$xSchpostCouncil 22'!CP$123</f>
        <v>3</v>
      </c>
      <c r="CQ42" s="43">
        <f>'$$xSchpostCouncil 22'!CQ42/'$$xSchpostCouncil 22'!CQ$123</f>
        <v>17</v>
      </c>
      <c r="CR42" s="43">
        <f>'$$xSchpostCouncil 22'!CR42/'$$xSchpostCouncil 22'!CR$123</f>
        <v>0</v>
      </c>
      <c r="CS42" s="6"/>
      <c r="CT42" s="6"/>
      <c r="CU42" s="6"/>
      <c r="CV42" s="43">
        <f>'$$xSchpostCouncil 22'!CV42/'$$xSchpostCouncil 22'!CV$123</f>
        <v>0</v>
      </c>
      <c r="CW42" s="43">
        <f>'$$xSchpostCouncil 22'!CW42/'$$xSchpostCouncil 22'!CW$123</f>
        <v>0</v>
      </c>
      <c r="CX42" s="6">
        <v>0</v>
      </c>
      <c r="CY42" s="6"/>
      <c r="CZ42" s="6"/>
      <c r="DB42" s="43">
        <f>'$$xSchpostCouncil 22'!DB42/'$$xSchpostCouncil 22'!DB$123</f>
        <v>1</v>
      </c>
      <c r="DC42" s="43">
        <f>'$$xSchpostCouncil 22'!DC42/'$$xSchpostCouncil 22'!DC$123</f>
        <v>0</v>
      </c>
      <c r="DF42" s="43">
        <f>'$$xSchpostCouncil 22'!DF42/'$$xSchpostCouncil 22'!DF$123</f>
        <v>0</v>
      </c>
      <c r="DG42" s="43">
        <f>'$$xSchpostCouncil 22'!DG42/'$$xSchpostCouncil 22'!DG$123</f>
        <v>0.49999555827981063</v>
      </c>
      <c r="DH42" s="43">
        <f>'$$xSchpostCouncil 22'!DH42/'$$xSchpostCouncil 22'!DH$123</f>
        <v>0</v>
      </c>
      <c r="DI42" s="43">
        <f>'$$xSchpostCouncil 22'!DI42/'$$xSchpostCouncil 22'!DI$123</f>
        <v>0</v>
      </c>
      <c r="DJ42" s="43">
        <f>'$$xSchpostCouncil 22'!DJ42/'$$xSchpostCouncil 22'!DJ$123</f>
        <v>0</v>
      </c>
      <c r="DK42" s="43">
        <f>'$$xSchpostCouncil 22'!DK42/'$$xSchpostCouncil 22'!DK$123</f>
        <v>0</v>
      </c>
      <c r="DL42" s="6">
        <v>4192</v>
      </c>
      <c r="DM42" s="6"/>
      <c r="DN42" s="43">
        <f>'$$xSchpostCouncil 22'!DN42/'$$xSchpostCouncil 22'!DN$123</f>
        <v>0</v>
      </c>
      <c r="DO42" s="6"/>
      <c r="DP42" s="6">
        <v>10575</v>
      </c>
      <c r="DU42" s="6">
        <f>VLOOKUP($A42,[3]Totals!$B$2:$K$119,10,FALSE)</f>
        <v>177307.99</v>
      </c>
      <c r="DV42" s="6">
        <f>VLOOKUP($A42,[3]Totals!$B$2:$K$119,9,FALSE)</f>
        <v>156529</v>
      </c>
    </row>
    <row r="43" spans="1:126" x14ac:dyDescent="0.2">
      <c r="A43" s="3">
        <v>246</v>
      </c>
      <c r="B43" s="2" t="s">
        <v>86</v>
      </c>
      <c r="C43" t="s">
        <v>19</v>
      </c>
      <c r="D43">
        <v>2</v>
      </c>
      <c r="E43" s="1">
        <v>525</v>
      </c>
      <c r="F43" s="4">
        <v>0.16</v>
      </c>
      <c r="G43">
        <v>84</v>
      </c>
      <c r="H43" s="43">
        <f>'$$xSchpostCouncil 22'!H43/'$$xSchpostCouncil 22'!H$123</f>
        <v>1</v>
      </c>
      <c r="I43" s="43">
        <f>'$$xSchpostCouncil 22'!I43/'$$xSchpostCouncil 22'!I$123</f>
        <v>1.3000026650321137</v>
      </c>
      <c r="J43" s="43">
        <f>'$$xSchpostCouncil 22'!J43/'$$xSchpostCouncil 22'!J$123</f>
        <v>0</v>
      </c>
      <c r="K43" s="43">
        <f>'$$xSchpostCouncil 22'!K43/'$$xSchpostCouncil 22'!K$123</f>
        <v>1</v>
      </c>
      <c r="L43" s="6">
        <v>7381</v>
      </c>
      <c r="M43" s="43">
        <f>'$$xSchpostCouncil 22'!M43/'$$xSchpostCouncil 22'!M$123</f>
        <v>1</v>
      </c>
      <c r="N43" s="43">
        <f>'$$xSchpostCouncil 22'!N43/'$$xSchpostCouncil 22'!N$123</f>
        <v>1</v>
      </c>
      <c r="O43" s="43">
        <f>'$$xSchpostCouncil 22'!O43/'$$xSchpostCouncil 22'!O$123</f>
        <v>3</v>
      </c>
      <c r="P43" s="43">
        <f>'$$xSchpostCouncil 22'!P43/'$$xSchpostCouncil 22'!P$123</f>
        <v>1</v>
      </c>
      <c r="Q43" s="43">
        <f>'$$xSchpostCouncil 22'!Q43/'$$xSchpostCouncil 22'!Q$123</f>
        <v>0</v>
      </c>
      <c r="R43" s="43">
        <f>'$$xSchpostCouncil 22'!R43/'$$xSchpostCouncil 22'!R$123</f>
        <v>0</v>
      </c>
      <c r="S43" s="43">
        <f>'$$xSchpostCouncil 22'!S43/'$$xSchpostCouncil 22'!S$123</f>
        <v>0</v>
      </c>
      <c r="T43" s="43">
        <f>'$$xSchpostCouncil 22'!T43/'$$xSchpostCouncil 22'!T$123</f>
        <v>0</v>
      </c>
      <c r="U43" s="6"/>
      <c r="V43" s="6"/>
      <c r="W43" s="6"/>
      <c r="X43" s="6"/>
      <c r="Y43" s="43">
        <f>'$$xSchpostCouncil 22'!Y43/'$$xSchpostCouncil 22'!Y$123</f>
        <v>0</v>
      </c>
      <c r="Z43" s="43">
        <f>'$$xSchpostCouncil 22'!Z43/'$$xSchpostCouncil 22'!Z$123</f>
        <v>0</v>
      </c>
      <c r="AA43" s="43">
        <f>'$$xSchpostCouncil 22'!AA43/'$$xSchpostCouncil 22'!AA$123</f>
        <v>0</v>
      </c>
      <c r="AB43" s="43">
        <f>'$$xSchpostCouncil 22'!AB43/'$$xSchpostCouncil 22'!AB$123</f>
        <v>0</v>
      </c>
      <c r="AC43" s="6"/>
      <c r="AD43" s="6">
        <v>182654</v>
      </c>
      <c r="AE43" s="43">
        <f>'$$xSchpostCouncil 22'!AE43/'$$xSchpostCouncil 22'!AE$123</f>
        <v>1</v>
      </c>
      <c r="AF43" s="43">
        <f>'$$xSchpostCouncil 22'!AF43/'$$xSchpostCouncil 22'!AF$123</f>
        <v>1</v>
      </c>
      <c r="AG43" s="43">
        <f>'$$xSchpostCouncil 22'!AG43/'$$xSchpostCouncil 22'!AG$123</f>
        <v>9</v>
      </c>
      <c r="AH43" s="43">
        <f>'$$xSchpostCouncil 22'!AH43/'$$xSchpostCouncil 22'!AH$123</f>
        <v>0</v>
      </c>
      <c r="AI43" s="43">
        <f>'$$xSchpostCouncil 22'!AI43/'$$xSchpostCouncil 22'!AI$123</f>
        <v>4</v>
      </c>
      <c r="AJ43" s="43"/>
      <c r="AK43" s="43">
        <f>'$$xSchpostCouncil 22'!AK43/'$$xSchpostCouncil 22'!AK$123</f>
        <v>0</v>
      </c>
      <c r="AL43" s="43">
        <f>'$$xSchpostCouncil 22'!AL43/'$$xSchpostCouncil 22'!AL$123</f>
        <v>0</v>
      </c>
      <c r="AM43" s="6"/>
      <c r="AN43" s="6"/>
      <c r="AO43" s="43">
        <f>'$$xSchpostCouncil 22'!AO43/'$$xSchpostCouncil 22'!AO$123</f>
        <v>1</v>
      </c>
      <c r="AP43" s="43">
        <f>'$$xSchpostCouncil 22'!AP43/'$$xSchpostCouncil 22'!AP$123</f>
        <v>0</v>
      </c>
      <c r="AQ43" s="43">
        <f>'$$xSchpostCouncil 22'!AQ43/'$$xSchpostCouncil 22'!AQ$123</f>
        <v>0</v>
      </c>
      <c r="AR43" s="6"/>
      <c r="AS43" s="6"/>
      <c r="AT43" s="6"/>
      <c r="AU43" s="6"/>
      <c r="AV43" s="6"/>
      <c r="AW43" s="6">
        <v>0</v>
      </c>
      <c r="AX43" s="6"/>
      <c r="AY43" s="6"/>
      <c r="AZ43" s="6">
        <v>0</v>
      </c>
      <c r="BA43" s="6"/>
      <c r="BB43" s="6">
        <v>13125</v>
      </c>
      <c r="BC43" s="43">
        <f>'$$xSchpostCouncil 22'!BC43/'$$xSchpostCouncil 22'!BC$123</f>
        <v>0</v>
      </c>
      <c r="BD43" s="43">
        <f>'$$xSchpostCouncil 22'!BD43/'$$xSchpostCouncil 22'!BD$123</f>
        <v>0</v>
      </c>
      <c r="BE43" s="6"/>
      <c r="BF43" s="6"/>
      <c r="BG43" s="6"/>
      <c r="BH43" s="43">
        <f>'$$xSchpostCouncil 22'!BH43/'$$xSchpostCouncil 22'!BH$123</f>
        <v>0</v>
      </c>
      <c r="BI43" s="6"/>
      <c r="BJ43" s="43">
        <f>'$$xSchpostCouncil 22'!BJ43/'$$xSchpostCouncil 22'!BJ$123</f>
        <v>0</v>
      </c>
      <c r="BK43" s="6"/>
      <c r="BL43" s="43">
        <f>'$$xSchpostCouncil 22'!BL43/'$$xSchpostCouncil 22'!BL$123</f>
        <v>0</v>
      </c>
      <c r="BM43" s="6"/>
      <c r="BN43" s="43">
        <f>'$$xSchpostCouncil 22'!BN43/'$$xSchpostCouncil 22'!BN$123</f>
        <v>0</v>
      </c>
      <c r="BO43" s="43">
        <f>'$$xSchpostCouncil 22'!BO43/'$$xSchpostCouncil 22'!BO$123</f>
        <v>0</v>
      </c>
      <c r="BP43" s="6"/>
      <c r="BQ43" s="6"/>
      <c r="BR43" s="6"/>
      <c r="BS43" s="6"/>
      <c r="BT43" s="6"/>
      <c r="BU43" s="43">
        <f>'$$xSchpostCouncil 22'!BU43/'$$xSchpostCouncil 22'!BU$123</f>
        <v>0</v>
      </c>
      <c r="BV43" s="43">
        <f>'$$xSchpostCouncil 22'!BV43/'$$xSchpostCouncil 22'!BV$123</f>
        <v>0</v>
      </c>
      <c r="BW43" s="43">
        <f>'$$xSchpostCouncil 22'!BW43/'$$xSchpostCouncil 22'!BW$123</f>
        <v>0</v>
      </c>
      <c r="BX43" s="6">
        <v>212648</v>
      </c>
      <c r="BY43" s="6"/>
      <c r="BZ43" s="6"/>
      <c r="CA43" s="6"/>
      <c r="CB43" s="6"/>
      <c r="CC43" s="6"/>
      <c r="CD43" s="6"/>
      <c r="CE43" s="6"/>
      <c r="CF43" s="6">
        <v>168854</v>
      </c>
      <c r="CI43" s="43">
        <f>'$$xSchpostCouncil 22'!CI43/'$$xSchpostCouncil 22'!CI$123</f>
        <v>1</v>
      </c>
      <c r="CJ43" s="43">
        <f>'$$xSchpostCouncil 22'!CJ43/'$$xSchpostCouncil 22'!CJ$123</f>
        <v>1.7999987222814942</v>
      </c>
      <c r="CK43" s="43">
        <f>'$$xSchpostCouncil 22'!CK43/'$$xSchpostCouncil 22'!CK$123</f>
        <v>1</v>
      </c>
      <c r="CL43" s="43">
        <f>'$$xSchpostCouncil 22'!CL43/'$$xSchpostCouncil 22'!CL$123</f>
        <v>1.3000059242876043</v>
      </c>
      <c r="CM43" s="43">
        <f>'$$xSchpostCouncil 22'!CM43/'$$xSchpostCouncil 22'!CM$123</f>
        <v>0</v>
      </c>
      <c r="CN43" s="43">
        <f>'$$xSchpostCouncil 22'!CN43/'$$xSchpostCouncil 22'!CN$123</f>
        <v>0</v>
      </c>
      <c r="CO43" s="43">
        <f>'$$xSchpostCouncil 22'!CO43/'$$xSchpostCouncil 22'!CO$123</f>
        <v>0</v>
      </c>
      <c r="CP43" s="43">
        <f>'$$xSchpostCouncil 22'!CP43/'$$xSchpostCouncil 22'!CP$123</f>
        <v>0</v>
      </c>
      <c r="CQ43" s="43">
        <f>'$$xSchpostCouncil 22'!CQ43/'$$xSchpostCouncil 22'!CQ$123</f>
        <v>23.899999111655962</v>
      </c>
      <c r="CR43" s="43">
        <f>'$$xSchpostCouncil 22'!CR43/'$$xSchpostCouncil 22'!CR$123</f>
        <v>3</v>
      </c>
      <c r="CS43" s="6">
        <v>23000</v>
      </c>
      <c r="CT43" s="6"/>
      <c r="CU43" s="6">
        <v>100000</v>
      </c>
      <c r="CV43" s="43">
        <f>'$$xSchpostCouncil 22'!CV43/'$$xSchpostCouncil 22'!CV$123</f>
        <v>0</v>
      </c>
      <c r="CW43" s="43">
        <f>'$$xSchpostCouncil 22'!CW43/'$$xSchpostCouncil 22'!CW$123</f>
        <v>1</v>
      </c>
      <c r="CX43" s="6">
        <v>0</v>
      </c>
      <c r="CY43" s="6"/>
      <c r="CZ43" s="6"/>
      <c r="DB43" s="43">
        <f>'$$xSchpostCouncil 22'!DB43/'$$xSchpostCouncil 22'!DB$123</f>
        <v>0</v>
      </c>
      <c r="DC43" s="43">
        <f>'$$xSchpostCouncil 22'!DC43/'$$xSchpostCouncil 22'!DC$123</f>
        <v>0</v>
      </c>
      <c r="DF43" s="43">
        <f>'$$xSchpostCouncil 22'!DF43/'$$xSchpostCouncil 22'!DF$123</f>
        <v>0</v>
      </c>
      <c r="DG43" s="43">
        <f>'$$xSchpostCouncil 22'!DG43/'$$xSchpostCouncil 22'!DG$123</f>
        <v>0</v>
      </c>
      <c r="DH43" s="43">
        <f>'$$xSchpostCouncil 22'!DH43/'$$xSchpostCouncil 22'!DH$123</f>
        <v>0</v>
      </c>
      <c r="DI43" s="43">
        <f>'$$xSchpostCouncil 22'!DI43/'$$xSchpostCouncil 22'!DI$123</f>
        <v>0</v>
      </c>
      <c r="DJ43" s="43">
        <f>'$$xSchpostCouncil 22'!DJ43/'$$xSchpostCouncil 22'!DJ$123</f>
        <v>0</v>
      </c>
      <c r="DK43" s="43">
        <f>'$$xSchpostCouncil 22'!DK43/'$$xSchpostCouncil 22'!DK$123</f>
        <v>0</v>
      </c>
      <c r="DL43" s="6"/>
      <c r="DM43" s="6"/>
      <c r="DN43" s="43">
        <f>'$$xSchpostCouncil 22'!DN43/'$$xSchpostCouncil 22'!DN$123</f>
        <v>0</v>
      </c>
      <c r="DO43" s="6"/>
      <c r="DP43" s="6">
        <v>15075</v>
      </c>
      <c r="DU43" s="6">
        <f>VLOOKUP($A43,[3]Totals!$B$2:$K$119,10,FALSE)</f>
        <v>80378.039999999994</v>
      </c>
      <c r="DV43" s="6">
        <f>VLOOKUP($A43,[3]Totals!$B$2:$K$119,9,FALSE)</f>
        <v>225138</v>
      </c>
    </row>
    <row r="44" spans="1:126" x14ac:dyDescent="0.2">
      <c r="A44" s="3">
        <v>413</v>
      </c>
      <c r="B44" s="2" t="s">
        <v>85</v>
      </c>
      <c r="C44" t="s">
        <v>19</v>
      </c>
      <c r="D44">
        <v>8</v>
      </c>
      <c r="E44" s="1">
        <v>475</v>
      </c>
      <c r="F44" s="4">
        <v>0.78300000000000003</v>
      </c>
      <c r="G44">
        <v>372</v>
      </c>
      <c r="H44" s="43">
        <f>'$$xSchpostCouncil 22'!H44/'$$xSchpostCouncil 22'!H$123</f>
        <v>1</v>
      </c>
      <c r="I44" s="43">
        <f>'$$xSchpostCouncil 22'!I44/'$$xSchpostCouncil 22'!I$123</f>
        <v>1.2000017766880757</v>
      </c>
      <c r="J44" s="43">
        <f>'$$xSchpostCouncil 22'!J44/'$$xSchpostCouncil 22'!J$123</f>
        <v>0</v>
      </c>
      <c r="K44" s="43">
        <f>'$$xSchpostCouncil 22'!K44/'$$xSchpostCouncil 22'!K$123</f>
        <v>1</v>
      </c>
      <c r="L44" s="6">
        <v>6985</v>
      </c>
      <c r="M44" s="43">
        <f>'$$xSchpostCouncil 22'!M44/'$$xSchpostCouncil 22'!M$123</f>
        <v>1</v>
      </c>
      <c r="N44" s="43">
        <f>'$$xSchpostCouncil 22'!N44/'$$xSchpostCouncil 22'!N$123</f>
        <v>1</v>
      </c>
      <c r="O44" s="43">
        <f>'$$xSchpostCouncil 22'!O44/'$$xSchpostCouncil 22'!O$123</f>
        <v>5</v>
      </c>
      <c r="P44" s="43">
        <f>'$$xSchpostCouncil 22'!P44/'$$xSchpostCouncil 22'!P$123</f>
        <v>1</v>
      </c>
      <c r="Q44" s="43">
        <f>'$$xSchpostCouncil 22'!Q44/'$$xSchpostCouncil 22'!Q$123</f>
        <v>0</v>
      </c>
      <c r="R44" s="43">
        <f>'$$xSchpostCouncil 22'!R44/'$$xSchpostCouncil 22'!R$123</f>
        <v>0</v>
      </c>
      <c r="S44" s="43">
        <f>'$$xSchpostCouncil 22'!S44/'$$xSchpostCouncil 22'!S$123</f>
        <v>0</v>
      </c>
      <c r="T44" s="43">
        <f>'$$xSchpostCouncil 22'!T44/'$$xSchpostCouncil 22'!T$123</f>
        <v>0</v>
      </c>
      <c r="U44" s="6"/>
      <c r="V44" s="6"/>
      <c r="W44" s="6"/>
      <c r="X44" s="6"/>
      <c r="Y44" s="43">
        <f>'$$xSchpostCouncil 22'!Y44/'$$xSchpostCouncil 22'!Y$123</f>
        <v>0</v>
      </c>
      <c r="Z44" s="43">
        <f>'$$xSchpostCouncil 22'!Z44/'$$xSchpostCouncil 22'!Z$123</f>
        <v>0</v>
      </c>
      <c r="AA44" s="43">
        <f>'$$xSchpostCouncil 22'!AA44/'$$xSchpostCouncil 22'!AA$123</f>
        <v>0</v>
      </c>
      <c r="AB44" s="43">
        <f>'$$xSchpostCouncil 22'!AB44/'$$xSchpostCouncil 22'!AB$123</f>
        <v>0</v>
      </c>
      <c r="AC44" s="6"/>
      <c r="AD44" s="6">
        <v>180843</v>
      </c>
      <c r="AE44" s="43">
        <f>'$$xSchpostCouncil 22'!AE44/'$$xSchpostCouncil 22'!AE$123</f>
        <v>1</v>
      </c>
      <c r="AF44" s="43">
        <f>'$$xSchpostCouncil 22'!AF44/'$$xSchpostCouncil 22'!AF$123</f>
        <v>4</v>
      </c>
      <c r="AG44" s="43">
        <f>'$$xSchpostCouncil 22'!AG44/'$$xSchpostCouncil 22'!AG$123</f>
        <v>10</v>
      </c>
      <c r="AH44" s="43">
        <f>'$$xSchpostCouncil 22'!AH44/'$$xSchpostCouncil 22'!AH$123</f>
        <v>0</v>
      </c>
      <c r="AI44" s="43">
        <f>'$$xSchpostCouncil 22'!AI44/'$$xSchpostCouncil 22'!AI$123</f>
        <v>4</v>
      </c>
      <c r="AJ44" s="43"/>
      <c r="AK44" s="43">
        <f>'$$xSchpostCouncil 22'!AK44/'$$xSchpostCouncil 22'!AK$123</f>
        <v>2</v>
      </c>
      <c r="AL44" s="43">
        <f>'$$xSchpostCouncil 22'!AL44/'$$xSchpostCouncil 22'!AL$123</f>
        <v>0</v>
      </c>
      <c r="AM44" s="6"/>
      <c r="AN44" s="6"/>
      <c r="AO44" s="43">
        <f>'$$xSchpostCouncil 22'!AO44/'$$xSchpostCouncil 22'!AO$123</f>
        <v>0</v>
      </c>
      <c r="AP44" s="43">
        <f>'$$xSchpostCouncil 22'!AP44/'$$xSchpostCouncil 22'!AP$123</f>
        <v>0.27000328687294017</v>
      </c>
      <c r="AQ44" s="43">
        <f>'$$xSchpostCouncil 22'!AQ44/'$$xSchpostCouncil 22'!AQ$123</f>
        <v>0</v>
      </c>
      <c r="AR44" s="6"/>
      <c r="AS44" s="6">
        <f>27200-13600</f>
        <v>13600</v>
      </c>
      <c r="AT44" s="6">
        <f>27200-13600</f>
        <v>13600</v>
      </c>
      <c r="AU44" s="6">
        <v>10200</v>
      </c>
      <c r="AV44" s="6"/>
      <c r="AW44" s="6">
        <v>27200</v>
      </c>
      <c r="AX44" s="6"/>
      <c r="AY44" s="6"/>
      <c r="AZ44" s="6">
        <v>215379.69</v>
      </c>
      <c r="BA44" s="6"/>
      <c r="BB44" s="6"/>
      <c r="BC44" s="43">
        <f>'$$xSchpostCouncil 22'!BC44/'$$xSchpostCouncil 22'!BC$123</f>
        <v>0</v>
      </c>
      <c r="BD44" s="43">
        <f>'$$xSchpostCouncil 22'!BD44/'$$xSchpostCouncil 22'!BD$123</f>
        <v>0</v>
      </c>
      <c r="BE44" s="6"/>
      <c r="BF44" s="6"/>
      <c r="BG44" s="6"/>
      <c r="BH44" s="43">
        <f>'$$xSchpostCouncil 22'!BH44/'$$xSchpostCouncil 22'!BH$123</f>
        <v>0</v>
      </c>
      <c r="BI44" s="6"/>
      <c r="BJ44" s="43">
        <f>'$$xSchpostCouncil 22'!BJ44/'$$xSchpostCouncil 22'!BJ$123</f>
        <v>0</v>
      </c>
      <c r="BK44" s="6"/>
      <c r="BL44" s="43">
        <f>'$$xSchpostCouncil 22'!BL44/'$$xSchpostCouncil 22'!BL$123</f>
        <v>0</v>
      </c>
      <c r="BM44" s="6"/>
      <c r="BN44" s="43">
        <f>'$$xSchpostCouncil 22'!BN44/'$$xSchpostCouncil 22'!BN$123</f>
        <v>0</v>
      </c>
      <c r="BO44" s="43">
        <f>'$$xSchpostCouncil 22'!BO44/'$$xSchpostCouncil 22'!BO$123</f>
        <v>0</v>
      </c>
      <c r="BP44" s="6"/>
      <c r="BQ44" s="6"/>
      <c r="BR44" s="6"/>
      <c r="BS44" s="6"/>
      <c r="BT44" s="6"/>
      <c r="BU44" s="43">
        <f>'$$xSchpostCouncil 22'!BU44/'$$xSchpostCouncil 22'!BU$123</f>
        <v>0</v>
      </c>
      <c r="BV44" s="43">
        <f>'$$xSchpostCouncil 22'!BV44/'$$xSchpostCouncil 22'!BV$123</f>
        <v>0</v>
      </c>
      <c r="BW44" s="43">
        <f>'$$xSchpostCouncil 22'!BW44/'$$xSchpostCouncil 22'!BW$123</f>
        <v>0</v>
      </c>
      <c r="BX44" s="6">
        <v>941725</v>
      </c>
      <c r="BY44" s="6"/>
      <c r="BZ44" s="6"/>
      <c r="CA44" s="6"/>
      <c r="CB44" s="6"/>
      <c r="CC44" s="6"/>
      <c r="CD44" s="6"/>
      <c r="CE44" s="6"/>
      <c r="CF44" s="6">
        <v>0</v>
      </c>
      <c r="CI44" s="43">
        <f>'$$xSchpostCouncil 22'!CI44/'$$xSchpostCouncil 22'!CI$123</f>
        <v>1</v>
      </c>
      <c r="CJ44" s="43">
        <f>'$$xSchpostCouncil 22'!CJ44/'$$xSchpostCouncil 22'!CJ$123</f>
        <v>1.5999974445629883</v>
      </c>
      <c r="CK44" s="43">
        <f>'$$xSchpostCouncil 22'!CK44/'$$xSchpostCouncil 22'!CK$123</f>
        <v>1</v>
      </c>
      <c r="CL44" s="43">
        <f>'$$xSchpostCouncil 22'!CL44/'$$xSchpostCouncil 22'!CL$123</f>
        <v>1.2000039495250696</v>
      </c>
      <c r="CM44" s="43">
        <f>'$$xSchpostCouncil 22'!CM44/'$$xSchpostCouncil 22'!CM$123</f>
        <v>0</v>
      </c>
      <c r="CN44" s="43">
        <f>'$$xSchpostCouncil 22'!CN44/'$$xSchpostCouncil 22'!CN$123</f>
        <v>1</v>
      </c>
      <c r="CO44" s="43">
        <f>'$$xSchpostCouncil 22'!CO44/'$$xSchpostCouncil 22'!CO$123</f>
        <v>0</v>
      </c>
      <c r="CP44" s="43">
        <f>'$$xSchpostCouncil 22'!CP44/'$$xSchpostCouncil 22'!CP$123</f>
        <v>0</v>
      </c>
      <c r="CQ44" s="43">
        <f>'$$xSchpostCouncil 22'!CQ44/'$$xSchpostCouncil 22'!CQ$123</f>
        <v>21.599996446623848</v>
      </c>
      <c r="CR44" s="43">
        <f>'$$xSchpostCouncil 22'!CR44/'$$xSchpostCouncil 22'!CR$123</f>
        <v>3</v>
      </c>
      <c r="CS44" s="6">
        <v>23000</v>
      </c>
      <c r="CT44" s="6"/>
      <c r="CU44" s="6">
        <v>100000</v>
      </c>
      <c r="CV44" s="43">
        <f>'$$xSchpostCouncil 22'!CV44/'$$xSchpostCouncil 22'!CV$123</f>
        <v>0</v>
      </c>
      <c r="CW44" s="43">
        <f>'$$xSchpostCouncil 22'!CW44/'$$xSchpostCouncil 22'!CW$123</f>
        <v>0</v>
      </c>
      <c r="CX44" s="6">
        <v>0</v>
      </c>
      <c r="CY44" s="6"/>
      <c r="CZ44" s="6"/>
      <c r="DB44" s="43">
        <f>'$$xSchpostCouncil 22'!DB44/'$$xSchpostCouncil 22'!DB$123</f>
        <v>0</v>
      </c>
      <c r="DC44" s="43">
        <f>'$$xSchpostCouncil 22'!DC44/'$$xSchpostCouncil 22'!DC$123</f>
        <v>0</v>
      </c>
      <c r="DF44" s="43">
        <f>'$$xSchpostCouncil 22'!DF44/'$$xSchpostCouncil 22'!DF$123</f>
        <v>0</v>
      </c>
      <c r="DG44" s="43">
        <f>'$$xSchpostCouncil 22'!DG44/'$$xSchpostCouncil 22'!DG$123</f>
        <v>0</v>
      </c>
      <c r="DH44" s="43">
        <f>'$$xSchpostCouncil 22'!DH44/'$$xSchpostCouncil 22'!DH$123</f>
        <v>0</v>
      </c>
      <c r="DI44" s="43">
        <f>'$$xSchpostCouncil 22'!DI44/'$$xSchpostCouncil 22'!DI$123</f>
        <v>1</v>
      </c>
      <c r="DJ44" s="43">
        <f>'$$xSchpostCouncil 22'!DJ44/'$$xSchpostCouncil 22'!DJ$123</f>
        <v>0</v>
      </c>
      <c r="DK44" s="43">
        <f>'$$xSchpostCouncil 22'!DK44/'$$xSchpostCouncil 22'!DK$123</f>
        <v>0</v>
      </c>
      <c r="DL44" s="6">
        <v>14935</v>
      </c>
      <c r="DM44" s="6"/>
      <c r="DN44" s="43">
        <f>'$$xSchpostCouncil 22'!DN44/'$$xSchpostCouncil 22'!DN$123</f>
        <v>0</v>
      </c>
      <c r="DO44" s="6"/>
      <c r="DP44" s="6">
        <v>64125</v>
      </c>
      <c r="DU44" s="6">
        <f>VLOOKUP($A44,[3]Totals!$B$2:$K$119,10,FALSE)</f>
        <v>210552.37</v>
      </c>
      <c r="DV44" s="6">
        <f>VLOOKUP($A44,[3]Totals!$B$2:$K$119,9,FALSE)</f>
        <v>225138</v>
      </c>
    </row>
    <row r="45" spans="1:126" x14ac:dyDescent="0.2">
      <c r="A45" s="3">
        <v>258</v>
      </c>
      <c r="B45" s="2" t="s">
        <v>84</v>
      </c>
      <c r="C45" t="s">
        <v>7</v>
      </c>
      <c r="D45">
        <v>3</v>
      </c>
      <c r="E45" s="1">
        <v>354</v>
      </c>
      <c r="F45" s="4">
        <v>6.5000000000000002E-2</v>
      </c>
      <c r="G45">
        <v>23</v>
      </c>
      <c r="H45" s="43">
        <f>'$$xSchpostCouncil 22'!H45/'$$xSchpostCouncil 22'!H$123</f>
        <v>1</v>
      </c>
      <c r="I45" s="43">
        <f>'$$xSchpostCouncil 22'!I45/'$$xSchpostCouncil 22'!I$123</f>
        <v>0</v>
      </c>
      <c r="J45" s="43">
        <f>'$$xSchpostCouncil 22'!J45/'$$xSchpostCouncil 22'!J$123</f>
        <v>0</v>
      </c>
      <c r="K45" s="43">
        <f>'$$xSchpostCouncil 22'!K45/'$$xSchpostCouncil 22'!K$123</f>
        <v>1</v>
      </c>
      <c r="L45" s="6">
        <v>3351</v>
      </c>
      <c r="M45" s="43">
        <f>'$$xSchpostCouncil 22'!M45/'$$xSchpostCouncil 22'!M$123</f>
        <v>1</v>
      </c>
      <c r="N45" s="43">
        <f>'$$xSchpostCouncil 22'!N45/'$$xSchpostCouncil 22'!N$123</f>
        <v>1</v>
      </c>
      <c r="O45" s="43">
        <f>'$$xSchpostCouncil 22'!O45/'$$xSchpostCouncil 22'!O$123</f>
        <v>2</v>
      </c>
      <c r="P45" s="43">
        <f>'$$xSchpostCouncil 22'!P45/'$$xSchpostCouncil 22'!P$123</f>
        <v>1</v>
      </c>
      <c r="Q45" s="43">
        <f>'$$xSchpostCouncil 22'!Q45/'$$xSchpostCouncil 22'!Q$123</f>
        <v>0</v>
      </c>
      <c r="R45" s="43">
        <f>'$$xSchpostCouncil 22'!R45/'$$xSchpostCouncil 22'!R$123</f>
        <v>0</v>
      </c>
      <c r="S45" s="43">
        <f>'$$xSchpostCouncil 22'!S45/'$$xSchpostCouncil 22'!S$123</f>
        <v>2</v>
      </c>
      <c r="T45" s="43">
        <f>'$$xSchpostCouncil 22'!T45/'$$xSchpostCouncil 22'!T$123</f>
        <v>2</v>
      </c>
      <c r="U45" s="6"/>
      <c r="V45" s="6"/>
      <c r="W45" s="6"/>
      <c r="X45" s="6"/>
      <c r="Y45" s="43">
        <f>'$$xSchpostCouncil 22'!Y45/'$$xSchpostCouncil 22'!Y$123</f>
        <v>0</v>
      </c>
      <c r="Z45" s="43">
        <f>'$$xSchpostCouncil 22'!Z45/'$$xSchpostCouncil 22'!Z$123</f>
        <v>0</v>
      </c>
      <c r="AA45" s="43">
        <f>'$$xSchpostCouncil 22'!AA45/'$$xSchpostCouncil 22'!AA$123</f>
        <v>0</v>
      </c>
      <c r="AB45" s="43">
        <f>'$$xSchpostCouncil 22'!AB45/'$$xSchpostCouncil 22'!AB$123</f>
        <v>0</v>
      </c>
      <c r="AC45" s="6"/>
      <c r="AD45" s="6">
        <v>131989</v>
      </c>
      <c r="AE45" s="43">
        <f>'$$xSchpostCouncil 22'!AE45/'$$xSchpostCouncil 22'!AE$123</f>
        <v>1</v>
      </c>
      <c r="AF45" s="43">
        <f>'$$xSchpostCouncil 22'!AF45/'$$xSchpostCouncil 22'!AF$123</f>
        <v>1</v>
      </c>
      <c r="AG45" s="43">
        <f>'$$xSchpostCouncil 22'!AG45/'$$xSchpostCouncil 22'!AG$123</f>
        <v>6</v>
      </c>
      <c r="AH45" s="43">
        <f>'$$xSchpostCouncil 22'!AH45/'$$xSchpostCouncil 22'!AH$123</f>
        <v>0</v>
      </c>
      <c r="AI45" s="43">
        <f>'$$xSchpostCouncil 22'!AI45/'$$xSchpostCouncil 22'!AI$123</f>
        <v>6</v>
      </c>
      <c r="AJ45" s="43"/>
      <c r="AK45" s="43">
        <f>'$$xSchpostCouncil 22'!AK45/'$$xSchpostCouncil 22'!AK$123</f>
        <v>0</v>
      </c>
      <c r="AL45" s="43">
        <f>'$$xSchpostCouncil 22'!AL45/'$$xSchpostCouncil 22'!AL$123</f>
        <v>0</v>
      </c>
      <c r="AM45" s="6"/>
      <c r="AN45" s="6"/>
      <c r="AO45" s="43">
        <f>'$$xSchpostCouncil 22'!AO45/'$$xSchpostCouncil 22'!AO$123</f>
        <v>4</v>
      </c>
      <c r="AP45" s="43">
        <f>'$$xSchpostCouncil 22'!AP45/'$$xSchpostCouncil 22'!AP$123</f>
        <v>0</v>
      </c>
      <c r="AQ45" s="43">
        <f>'$$xSchpostCouncil 22'!AQ45/'$$xSchpostCouncil 22'!AQ$123</f>
        <v>0</v>
      </c>
      <c r="AR45" s="6"/>
      <c r="AS45" s="6"/>
      <c r="AT45" s="6"/>
      <c r="AU45" s="6"/>
      <c r="AV45" s="6"/>
      <c r="AW45" s="6">
        <v>0</v>
      </c>
      <c r="AX45" s="6"/>
      <c r="AY45" s="6"/>
      <c r="AZ45" s="6">
        <v>0</v>
      </c>
      <c r="BA45" s="6"/>
      <c r="BB45" s="6">
        <v>8850</v>
      </c>
      <c r="BC45" s="43">
        <f>'$$xSchpostCouncil 22'!BC45/'$$xSchpostCouncil 22'!BC$123</f>
        <v>0</v>
      </c>
      <c r="BD45" s="43">
        <f>'$$xSchpostCouncil 22'!BD45/'$$xSchpostCouncil 22'!BD$123</f>
        <v>0</v>
      </c>
      <c r="BE45" s="6"/>
      <c r="BF45" s="6"/>
      <c r="BG45" s="6"/>
      <c r="BH45" s="43">
        <f>'$$xSchpostCouncil 22'!BH45/'$$xSchpostCouncil 22'!BH$123</f>
        <v>0</v>
      </c>
      <c r="BI45" s="6"/>
      <c r="BJ45" s="43">
        <f>'$$xSchpostCouncil 22'!BJ45/'$$xSchpostCouncil 22'!BJ$123</f>
        <v>0</v>
      </c>
      <c r="BK45" s="6"/>
      <c r="BL45" s="43">
        <f>'$$xSchpostCouncil 22'!BL45/'$$xSchpostCouncil 22'!BL$123</f>
        <v>0</v>
      </c>
      <c r="BM45" s="6"/>
      <c r="BN45" s="43">
        <f>'$$xSchpostCouncil 22'!BN45/'$$xSchpostCouncil 22'!BN$123</f>
        <v>0</v>
      </c>
      <c r="BO45" s="43">
        <f>'$$xSchpostCouncil 22'!BO45/'$$xSchpostCouncil 22'!BO$123</f>
        <v>0</v>
      </c>
      <c r="BP45" s="6"/>
      <c r="BQ45" s="6"/>
      <c r="BR45" s="6"/>
      <c r="BS45" s="6"/>
      <c r="BT45" s="6"/>
      <c r="BU45" s="43">
        <f>'$$xSchpostCouncil 22'!BU45/'$$xSchpostCouncil 22'!BU$123</f>
        <v>0</v>
      </c>
      <c r="BV45" s="43">
        <f>'$$xSchpostCouncil 22'!BV45/'$$xSchpostCouncil 22'!BV$123</f>
        <v>0</v>
      </c>
      <c r="BW45" s="43">
        <f>'$$xSchpostCouncil 22'!BW45/'$$xSchpostCouncil 22'!BW$123</f>
        <v>0</v>
      </c>
      <c r="BX45" s="6">
        <v>58225</v>
      </c>
      <c r="BY45" s="6"/>
      <c r="BZ45" s="6"/>
      <c r="CA45" s="6"/>
      <c r="CB45" s="6"/>
      <c r="CC45" s="6"/>
      <c r="CD45" s="6"/>
      <c r="CE45" s="6"/>
      <c r="CF45" s="6">
        <v>0</v>
      </c>
      <c r="CI45" s="43">
        <f>'$$xSchpostCouncil 22'!CI45/'$$xSchpostCouncil 22'!CI$123</f>
        <v>1</v>
      </c>
      <c r="CJ45" s="43">
        <f>'$$xSchpostCouncil 22'!CJ45/'$$xSchpostCouncil 22'!CJ$123</f>
        <v>0.89999936114074708</v>
      </c>
      <c r="CK45" s="43">
        <f>'$$xSchpostCouncil 22'!CK45/'$$xSchpostCouncil 22'!CK$123</f>
        <v>1</v>
      </c>
      <c r="CL45" s="43">
        <f>'$$xSchpostCouncil 22'!CL45/'$$xSchpostCouncil 22'!CL$123</f>
        <v>0</v>
      </c>
      <c r="CM45" s="43">
        <f>'$$xSchpostCouncil 22'!CM45/'$$xSchpostCouncil 22'!CM$123</f>
        <v>0</v>
      </c>
      <c r="CN45" s="43">
        <f>'$$xSchpostCouncil 22'!CN45/'$$xSchpostCouncil 22'!CN$123</f>
        <v>0</v>
      </c>
      <c r="CO45" s="43">
        <f>'$$xSchpostCouncil 22'!CO45/'$$xSchpostCouncil 22'!CO$123</f>
        <v>3</v>
      </c>
      <c r="CP45" s="43">
        <f>'$$xSchpostCouncil 22'!CP45/'$$xSchpostCouncil 22'!CP$123</f>
        <v>3</v>
      </c>
      <c r="CQ45" s="43">
        <f>'$$xSchpostCouncil 22'!CQ45/'$$xSchpostCouncil 22'!CQ$123</f>
        <v>16</v>
      </c>
      <c r="CR45" s="43">
        <f>'$$xSchpostCouncil 22'!CR45/'$$xSchpostCouncil 22'!CR$123</f>
        <v>0</v>
      </c>
      <c r="CS45" s="6"/>
      <c r="CT45" s="6"/>
      <c r="CU45" s="6"/>
      <c r="CV45" s="43">
        <f>'$$xSchpostCouncil 22'!CV45/'$$xSchpostCouncil 22'!CV$123</f>
        <v>0</v>
      </c>
      <c r="CW45" s="43">
        <f>'$$xSchpostCouncil 22'!CW45/'$$xSchpostCouncil 22'!CW$123</f>
        <v>0</v>
      </c>
      <c r="CX45" s="6">
        <v>0</v>
      </c>
      <c r="CY45" s="6"/>
      <c r="CZ45" s="6"/>
      <c r="DB45" s="43">
        <f>'$$xSchpostCouncil 22'!DB45/'$$xSchpostCouncil 22'!DB$123</f>
        <v>0</v>
      </c>
      <c r="DC45" s="43">
        <f>'$$xSchpostCouncil 22'!DC45/'$$xSchpostCouncil 22'!DC$123</f>
        <v>0</v>
      </c>
      <c r="DF45" s="43">
        <f>'$$xSchpostCouncil 22'!DF45/'$$xSchpostCouncil 22'!DF$123</f>
        <v>0</v>
      </c>
      <c r="DG45" s="43">
        <f>'$$xSchpostCouncil 22'!DG45/'$$xSchpostCouncil 22'!DG$123</f>
        <v>0</v>
      </c>
      <c r="DH45" s="43">
        <f>'$$xSchpostCouncil 22'!DH45/'$$xSchpostCouncil 22'!DH$123</f>
        <v>0</v>
      </c>
      <c r="DI45" s="43">
        <f>'$$xSchpostCouncil 22'!DI45/'$$xSchpostCouncil 22'!DI$123</f>
        <v>0</v>
      </c>
      <c r="DJ45" s="43">
        <f>'$$xSchpostCouncil 22'!DJ45/'$$xSchpostCouncil 22'!DJ$123</f>
        <v>0</v>
      </c>
      <c r="DK45" s="43">
        <f>'$$xSchpostCouncil 22'!DK45/'$$xSchpostCouncil 22'!DK$123</f>
        <v>0</v>
      </c>
      <c r="DL45" s="6"/>
      <c r="DM45" s="6"/>
      <c r="DN45" s="43">
        <f>'$$xSchpostCouncil 22'!DN45/'$$xSchpostCouncil 22'!DN$123</f>
        <v>0</v>
      </c>
      <c r="DO45" s="6"/>
      <c r="DP45" s="6">
        <v>3325</v>
      </c>
      <c r="DU45" s="6">
        <f>VLOOKUP($A45,[3]Totals!$B$2:$K$119,10,FALSE)</f>
        <v>35794.639999999999</v>
      </c>
      <c r="DV45" s="6">
        <f>VLOOKUP($A45,[3]Totals!$B$2:$K$119,9,FALSE)</f>
        <v>112569</v>
      </c>
    </row>
    <row r="46" spans="1:126" x14ac:dyDescent="0.2">
      <c r="A46" s="3">
        <v>249</v>
      </c>
      <c r="B46" s="2" t="s">
        <v>83</v>
      </c>
      <c r="C46" t="s">
        <v>7</v>
      </c>
      <c r="D46">
        <v>8</v>
      </c>
      <c r="E46" s="1">
        <v>310</v>
      </c>
      <c r="F46" s="4">
        <v>0.88700000000000001</v>
      </c>
      <c r="G46">
        <v>275</v>
      </c>
      <c r="H46" s="43">
        <f>'$$xSchpostCouncil 22'!H46/'$$xSchpostCouncil 22'!H$123</f>
        <v>1</v>
      </c>
      <c r="I46" s="43">
        <f>'$$xSchpostCouncil 22'!I46/'$$xSchpostCouncil 22'!I$123</f>
        <v>0</v>
      </c>
      <c r="J46" s="43">
        <f>'$$xSchpostCouncil 22'!J46/'$$xSchpostCouncil 22'!J$123</f>
        <v>0</v>
      </c>
      <c r="K46" s="43">
        <f>'$$xSchpostCouncil 22'!K46/'$$xSchpostCouncil 22'!K$123</f>
        <v>1</v>
      </c>
      <c r="L46" s="6">
        <v>4825</v>
      </c>
      <c r="M46" s="43">
        <f>'$$xSchpostCouncil 22'!M46/'$$xSchpostCouncil 22'!M$123</f>
        <v>1</v>
      </c>
      <c r="N46" s="43">
        <f>'$$xSchpostCouncil 22'!N46/'$$xSchpostCouncil 22'!N$123</f>
        <v>1</v>
      </c>
      <c r="O46" s="43">
        <f>'$$xSchpostCouncil 22'!O46/'$$xSchpostCouncil 22'!O$123</f>
        <v>2</v>
      </c>
      <c r="P46" s="43">
        <f>'$$xSchpostCouncil 22'!P46/'$$xSchpostCouncil 22'!P$123</f>
        <v>1</v>
      </c>
      <c r="Q46" s="43">
        <f>'$$xSchpostCouncil 22'!Q46/'$$xSchpostCouncil 22'!Q$123</f>
        <v>2</v>
      </c>
      <c r="R46" s="43">
        <f>'$$xSchpostCouncil 22'!R46/'$$xSchpostCouncil 22'!R$123</f>
        <v>0</v>
      </c>
      <c r="S46" s="43">
        <f>'$$xSchpostCouncil 22'!S46/'$$xSchpostCouncil 22'!S$123</f>
        <v>2</v>
      </c>
      <c r="T46" s="43">
        <f>'$$xSchpostCouncil 22'!T46/'$$xSchpostCouncil 22'!T$123</f>
        <v>4</v>
      </c>
      <c r="U46" s="6"/>
      <c r="V46" s="6"/>
      <c r="W46" s="6"/>
      <c r="X46" s="6"/>
      <c r="Y46" s="43">
        <f>'$$xSchpostCouncil 22'!Y46/'$$xSchpostCouncil 22'!Y$123</f>
        <v>0</v>
      </c>
      <c r="Z46" s="43">
        <f>'$$xSchpostCouncil 22'!Z46/'$$xSchpostCouncil 22'!Z$123</f>
        <v>0</v>
      </c>
      <c r="AA46" s="43">
        <f>'$$xSchpostCouncil 22'!AA46/'$$xSchpostCouncil 22'!AA$123</f>
        <v>0</v>
      </c>
      <c r="AB46" s="43">
        <f>'$$xSchpostCouncil 22'!AB46/'$$xSchpostCouncil 22'!AB$123</f>
        <v>0</v>
      </c>
      <c r="AC46" s="6"/>
      <c r="AD46" s="6">
        <v>109889</v>
      </c>
      <c r="AE46" s="43">
        <f>'$$xSchpostCouncil 22'!AE46/'$$xSchpostCouncil 22'!AE$123</f>
        <v>1</v>
      </c>
      <c r="AF46" s="43">
        <f>'$$xSchpostCouncil 22'!AF46/'$$xSchpostCouncil 22'!AF$123</f>
        <v>1</v>
      </c>
      <c r="AG46" s="43">
        <f>'$$xSchpostCouncil 22'!AG46/'$$xSchpostCouncil 22'!AG$123</f>
        <v>4</v>
      </c>
      <c r="AH46" s="43">
        <f>'$$xSchpostCouncil 22'!AH46/'$$xSchpostCouncil 22'!AH$123</f>
        <v>0</v>
      </c>
      <c r="AI46" s="43">
        <f>'$$xSchpostCouncil 22'!AI46/'$$xSchpostCouncil 22'!AI$123</f>
        <v>0</v>
      </c>
      <c r="AJ46" s="43"/>
      <c r="AK46" s="43">
        <f>'$$xSchpostCouncil 22'!AK46/'$$xSchpostCouncil 22'!AK$123</f>
        <v>0</v>
      </c>
      <c r="AL46" s="43">
        <f>'$$xSchpostCouncil 22'!AL46/'$$xSchpostCouncil 22'!AL$123</f>
        <v>0</v>
      </c>
      <c r="AM46" s="6"/>
      <c r="AN46" s="6"/>
      <c r="AO46" s="43">
        <f>'$$xSchpostCouncil 22'!AO46/'$$xSchpostCouncil 22'!AO$123</f>
        <v>0</v>
      </c>
      <c r="AP46" s="43">
        <f>'$$xSchpostCouncil 22'!AP46/'$$xSchpostCouncil 22'!AP$123</f>
        <v>4.9996002451829544E-2</v>
      </c>
      <c r="AQ46" s="43">
        <f>'$$xSchpostCouncil 22'!AQ46/'$$xSchpostCouncil 22'!AQ$123</f>
        <v>0</v>
      </c>
      <c r="AR46" s="6"/>
      <c r="AS46" s="6">
        <f>40800-20400</f>
        <v>20400</v>
      </c>
      <c r="AT46" s="6">
        <f>40800-20400</f>
        <v>20400</v>
      </c>
      <c r="AU46" s="6">
        <v>10200</v>
      </c>
      <c r="AV46" s="6"/>
      <c r="AW46" s="6">
        <v>40800</v>
      </c>
      <c r="AX46" s="6"/>
      <c r="AY46" s="6"/>
      <c r="AZ46" s="6">
        <v>140565.87</v>
      </c>
      <c r="BA46" s="6"/>
      <c r="BB46" s="6"/>
      <c r="BC46" s="43">
        <f>'$$xSchpostCouncil 22'!BC46/'$$xSchpostCouncil 22'!BC$123</f>
        <v>0</v>
      </c>
      <c r="BD46" s="43">
        <f>'$$xSchpostCouncil 22'!BD46/'$$xSchpostCouncil 22'!BD$123</f>
        <v>0</v>
      </c>
      <c r="BE46" s="6"/>
      <c r="BF46" s="6"/>
      <c r="BG46" s="6"/>
      <c r="BH46" s="43">
        <f>'$$xSchpostCouncil 22'!BH46/'$$xSchpostCouncil 22'!BH$123</f>
        <v>0</v>
      </c>
      <c r="BI46" s="6"/>
      <c r="BJ46" s="43">
        <f>'$$xSchpostCouncil 22'!BJ46/'$$xSchpostCouncil 22'!BJ$123</f>
        <v>0</v>
      </c>
      <c r="BK46" s="6"/>
      <c r="BL46" s="43">
        <f>'$$xSchpostCouncil 22'!BL46/'$$xSchpostCouncil 22'!BL$123</f>
        <v>0</v>
      </c>
      <c r="BM46" s="6"/>
      <c r="BN46" s="43">
        <f>'$$xSchpostCouncil 22'!BN46/'$$xSchpostCouncil 22'!BN$123</f>
        <v>0</v>
      </c>
      <c r="BO46" s="43">
        <f>'$$xSchpostCouncil 22'!BO46/'$$xSchpostCouncil 22'!BO$123</f>
        <v>0</v>
      </c>
      <c r="BP46" s="6"/>
      <c r="BQ46" s="6"/>
      <c r="BR46" s="6">
        <v>13859</v>
      </c>
      <c r="BS46" s="6"/>
      <c r="BT46" s="6"/>
      <c r="BU46" s="43">
        <f>'$$xSchpostCouncil 22'!BU46/'$$xSchpostCouncil 22'!BU$123</f>
        <v>0</v>
      </c>
      <c r="BV46" s="43">
        <f>'$$xSchpostCouncil 22'!BV46/'$$xSchpostCouncil 22'!BV$123</f>
        <v>0</v>
      </c>
      <c r="BW46" s="43">
        <f>'$$xSchpostCouncil 22'!BW46/'$$xSchpostCouncil 22'!BW$123</f>
        <v>0</v>
      </c>
      <c r="BX46" s="6">
        <v>696168</v>
      </c>
      <c r="BY46" s="6"/>
      <c r="BZ46" s="6"/>
      <c r="CA46" s="6"/>
      <c r="CB46" s="6"/>
      <c r="CC46" s="6">
        <v>690843</v>
      </c>
      <c r="CD46" s="6"/>
      <c r="CE46" s="6">
        <v>475000</v>
      </c>
      <c r="CF46" s="6">
        <v>110891</v>
      </c>
      <c r="CI46" s="43">
        <f>'$$xSchpostCouncil 22'!CI46/'$$xSchpostCouncil 22'!CI$123</f>
        <v>1</v>
      </c>
      <c r="CJ46" s="43">
        <f>'$$xSchpostCouncil 22'!CJ46/'$$xSchpostCouncil 22'!CJ$123</f>
        <v>0.79999872228149416</v>
      </c>
      <c r="CK46" s="43">
        <f>'$$xSchpostCouncil 22'!CK46/'$$xSchpostCouncil 22'!CK$123</f>
        <v>1</v>
      </c>
      <c r="CL46" s="43">
        <f>'$$xSchpostCouncil 22'!CL46/'$$xSchpostCouncil 22'!CL$123</f>
        <v>0</v>
      </c>
      <c r="CM46" s="43">
        <f>'$$xSchpostCouncil 22'!CM46/'$$xSchpostCouncil 22'!CM$123</f>
        <v>0</v>
      </c>
      <c r="CN46" s="43">
        <f>'$$xSchpostCouncil 22'!CN46/'$$xSchpostCouncil 22'!CN$123</f>
        <v>0</v>
      </c>
      <c r="CO46" s="43">
        <f>'$$xSchpostCouncil 22'!CO46/'$$xSchpostCouncil 22'!CO$123</f>
        <v>3</v>
      </c>
      <c r="CP46" s="43">
        <f>'$$xSchpostCouncil 22'!CP46/'$$xSchpostCouncil 22'!CP$123</f>
        <v>2</v>
      </c>
      <c r="CQ46" s="43">
        <f>'$$xSchpostCouncil 22'!CQ46/'$$xSchpostCouncil 22'!CQ$123</f>
        <v>13</v>
      </c>
      <c r="CR46" s="43">
        <f>'$$xSchpostCouncil 22'!CR46/'$$xSchpostCouncil 22'!CR$123</f>
        <v>0</v>
      </c>
      <c r="CS46" s="6"/>
      <c r="CT46" s="6"/>
      <c r="CU46" s="6"/>
      <c r="CV46" s="43">
        <f>'$$xSchpostCouncil 22'!CV46/'$$xSchpostCouncil 22'!CV$123</f>
        <v>0</v>
      </c>
      <c r="CW46" s="43">
        <f>'$$xSchpostCouncil 22'!CW46/'$$xSchpostCouncil 22'!CW$123</f>
        <v>0</v>
      </c>
      <c r="CX46" s="6">
        <v>0</v>
      </c>
      <c r="CY46" s="6"/>
      <c r="CZ46" s="6"/>
      <c r="DB46" s="43">
        <f>'$$xSchpostCouncil 22'!DB46/'$$xSchpostCouncil 22'!DB$123</f>
        <v>0</v>
      </c>
      <c r="DC46" s="43">
        <f>'$$xSchpostCouncil 22'!DC46/'$$xSchpostCouncil 22'!DC$123</f>
        <v>0</v>
      </c>
      <c r="DF46" s="43">
        <f>'$$xSchpostCouncil 22'!DF46/'$$xSchpostCouncil 22'!DF$123</f>
        <v>0</v>
      </c>
      <c r="DG46" s="43">
        <f>'$$xSchpostCouncil 22'!DG46/'$$xSchpostCouncil 22'!DG$123</f>
        <v>0</v>
      </c>
      <c r="DH46" s="43">
        <f>'$$xSchpostCouncil 22'!DH46/'$$xSchpostCouncil 22'!DH$123</f>
        <v>0</v>
      </c>
      <c r="DI46" s="43">
        <f>'$$xSchpostCouncil 22'!DI46/'$$xSchpostCouncil 22'!DI$123</f>
        <v>0</v>
      </c>
      <c r="DJ46" s="43">
        <f>'$$xSchpostCouncil 22'!DJ46/'$$xSchpostCouncil 22'!DJ$123</f>
        <v>0</v>
      </c>
      <c r="DK46" s="43">
        <f>'$$xSchpostCouncil 22'!DK46/'$$xSchpostCouncil 22'!DK$123</f>
        <v>0</v>
      </c>
      <c r="DL46" s="6">
        <v>11027</v>
      </c>
      <c r="DM46" s="6"/>
      <c r="DN46" s="43">
        <f>'$$xSchpostCouncil 22'!DN46/'$$xSchpostCouncil 22'!DN$123</f>
        <v>0</v>
      </c>
      <c r="DO46" s="6"/>
      <c r="DP46" s="6">
        <v>38625</v>
      </c>
      <c r="DU46" s="6">
        <f>VLOOKUP($A46,[3]Totals!$B$2:$K$119,10,FALSE)</f>
        <v>206943.12</v>
      </c>
      <c r="DV46" s="6">
        <f>VLOOKUP($A46,[3]Totals!$B$2:$K$119,9,FALSE)</f>
        <v>112569</v>
      </c>
    </row>
    <row r="47" spans="1:126" x14ac:dyDescent="0.2">
      <c r="A47" s="3">
        <v>251</v>
      </c>
      <c r="B47" s="2" t="s">
        <v>82</v>
      </c>
      <c r="C47" t="s">
        <v>7</v>
      </c>
      <c r="D47">
        <v>7</v>
      </c>
      <c r="E47" s="1">
        <v>282</v>
      </c>
      <c r="F47" s="4">
        <v>0.71599999999999997</v>
      </c>
      <c r="G47">
        <v>202</v>
      </c>
      <c r="H47" s="43">
        <f>'$$xSchpostCouncil 22'!H47/'$$xSchpostCouncil 22'!H$123</f>
        <v>1</v>
      </c>
      <c r="I47" s="43">
        <f>'$$xSchpostCouncil 22'!I47/'$$xSchpostCouncil 22'!I$123</f>
        <v>0</v>
      </c>
      <c r="J47" s="43">
        <f>'$$xSchpostCouncil 22'!J47/'$$xSchpostCouncil 22'!J$123</f>
        <v>0</v>
      </c>
      <c r="K47" s="43">
        <f>'$$xSchpostCouncil 22'!K47/'$$xSchpostCouncil 22'!K$123</f>
        <v>1</v>
      </c>
      <c r="L47" s="6">
        <v>4472</v>
      </c>
      <c r="M47" s="43">
        <f>'$$xSchpostCouncil 22'!M47/'$$xSchpostCouncil 22'!M$123</f>
        <v>1</v>
      </c>
      <c r="N47" s="43">
        <f>'$$xSchpostCouncil 22'!N47/'$$xSchpostCouncil 22'!N$123</f>
        <v>1</v>
      </c>
      <c r="O47" s="43">
        <f>'$$xSchpostCouncil 22'!O47/'$$xSchpostCouncil 22'!O$123</f>
        <v>1</v>
      </c>
      <c r="P47" s="43">
        <f>'$$xSchpostCouncil 22'!P47/'$$xSchpostCouncil 22'!P$123</f>
        <v>1.0000006218408266</v>
      </c>
      <c r="Q47" s="43">
        <f>'$$xSchpostCouncil 22'!Q47/'$$xSchpostCouncil 22'!Q$123</f>
        <v>2</v>
      </c>
      <c r="R47" s="43">
        <f>'$$xSchpostCouncil 22'!R47/'$$xSchpostCouncil 22'!R$123</f>
        <v>0</v>
      </c>
      <c r="S47" s="43">
        <f>'$$xSchpostCouncil 22'!S47/'$$xSchpostCouncil 22'!S$123</f>
        <v>2</v>
      </c>
      <c r="T47" s="43">
        <f>'$$xSchpostCouncil 22'!T47/'$$xSchpostCouncil 22'!T$123</f>
        <v>4</v>
      </c>
      <c r="U47" s="6"/>
      <c r="V47" s="6"/>
      <c r="W47" s="6"/>
      <c r="X47" s="6"/>
      <c r="Y47" s="43">
        <f>'$$xSchpostCouncil 22'!Y47/'$$xSchpostCouncil 22'!Y$123</f>
        <v>0</v>
      </c>
      <c r="Z47" s="43">
        <f>'$$xSchpostCouncil 22'!Z47/'$$xSchpostCouncil 22'!Z$123</f>
        <v>0</v>
      </c>
      <c r="AA47" s="43">
        <f>'$$xSchpostCouncil 22'!AA47/'$$xSchpostCouncil 22'!AA$123</f>
        <v>0</v>
      </c>
      <c r="AB47" s="43">
        <f>'$$xSchpostCouncil 22'!AB47/'$$xSchpostCouncil 22'!AB$123</f>
        <v>0</v>
      </c>
      <c r="AC47" s="6"/>
      <c r="AD47" s="6">
        <v>118083</v>
      </c>
      <c r="AE47" s="43">
        <f>'$$xSchpostCouncil 22'!AE47/'$$xSchpostCouncil 22'!AE$123</f>
        <v>1</v>
      </c>
      <c r="AF47" s="43">
        <f>'$$xSchpostCouncil 22'!AF47/'$$xSchpostCouncil 22'!AF$123</f>
        <v>1</v>
      </c>
      <c r="AG47" s="43">
        <f>'$$xSchpostCouncil 22'!AG47/'$$xSchpostCouncil 22'!AG$123</f>
        <v>9</v>
      </c>
      <c r="AH47" s="43">
        <f>'$$xSchpostCouncil 22'!AH47/'$$xSchpostCouncil 22'!AH$123</f>
        <v>0</v>
      </c>
      <c r="AI47" s="43">
        <f>'$$xSchpostCouncil 22'!AI47/'$$xSchpostCouncil 22'!AI$123</f>
        <v>12</v>
      </c>
      <c r="AJ47" s="43"/>
      <c r="AK47" s="43">
        <f>'$$xSchpostCouncil 22'!AK47/'$$xSchpostCouncil 22'!AK$123</f>
        <v>0</v>
      </c>
      <c r="AL47" s="43">
        <f>'$$xSchpostCouncil 22'!AL47/'$$xSchpostCouncil 22'!AL$123</f>
        <v>1</v>
      </c>
      <c r="AM47" s="6"/>
      <c r="AN47" s="6"/>
      <c r="AO47" s="43">
        <f>'$$xSchpostCouncil 22'!AO47/'$$xSchpostCouncil 22'!AO$123</f>
        <v>0</v>
      </c>
      <c r="AP47" s="43">
        <f>'$$xSchpostCouncil 22'!AP47/'$$xSchpostCouncil 22'!AP$123</f>
        <v>0.17999626895504089</v>
      </c>
      <c r="AQ47" s="43">
        <f>'$$xSchpostCouncil 22'!AQ47/'$$xSchpostCouncil 22'!AQ$123</f>
        <v>0</v>
      </c>
      <c r="AR47" s="6"/>
      <c r="AS47" s="6">
        <f>34000-20400</f>
        <v>13600</v>
      </c>
      <c r="AT47" s="6">
        <f>34000-20400</f>
        <v>13600</v>
      </c>
      <c r="AU47" s="6">
        <v>10200</v>
      </c>
      <c r="AV47" s="6"/>
      <c r="AW47" s="6">
        <v>40800</v>
      </c>
      <c r="AX47" s="6"/>
      <c r="AY47" s="6"/>
      <c r="AZ47" s="6">
        <v>127869.3</v>
      </c>
      <c r="BA47" s="6"/>
      <c r="BB47" s="6"/>
      <c r="BC47" s="43">
        <f>'$$xSchpostCouncil 22'!BC47/'$$xSchpostCouncil 22'!BC$123</f>
        <v>0</v>
      </c>
      <c r="BD47" s="43">
        <f>'$$xSchpostCouncil 22'!BD47/'$$xSchpostCouncil 22'!BD$123</f>
        <v>0</v>
      </c>
      <c r="BE47" s="6"/>
      <c r="BF47" s="6"/>
      <c r="BG47" s="6"/>
      <c r="BH47" s="43">
        <f>'$$xSchpostCouncil 22'!BH47/'$$xSchpostCouncil 22'!BH$123</f>
        <v>0</v>
      </c>
      <c r="BI47" s="6"/>
      <c r="BJ47" s="43">
        <f>'$$xSchpostCouncil 22'!BJ47/'$$xSchpostCouncil 22'!BJ$123</f>
        <v>0</v>
      </c>
      <c r="BK47" s="6"/>
      <c r="BL47" s="43">
        <f>'$$xSchpostCouncil 22'!BL47/'$$xSchpostCouncil 22'!BL$123</f>
        <v>0</v>
      </c>
      <c r="BM47" s="6"/>
      <c r="BN47" s="43">
        <f>'$$xSchpostCouncil 22'!BN47/'$$xSchpostCouncil 22'!BN$123</f>
        <v>0</v>
      </c>
      <c r="BO47" s="43">
        <f>'$$xSchpostCouncil 22'!BO47/'$$xSchpostCouncil 22'!BO$123</f>
        <v>0</v>
      </c>
      <c r="BP47" s="6"/>
      <c r="BQ47" s="6"/>
      <c r="BR47" s="6"/>
      <c r="BS47" s="6"/>
      <c r="BT47" s="6"/>
      <c r="BU47" s="43">
        <f>'$$xSchpostCouncil 22'!BU47/'$$xSchpostCouncil 22'!BU$123</f>
        <v>0</v>
      </c>
      <c r="BV47" s="43">
        <f>'$$xSchpostCouncil 22'!BV47/'$$xSchpostCouncil 22'!BV$123</f>
        <v>0</v>
      </c>
      <c r="BW47" s="43">
        <f>'$$xSchpostCouncil 22'!BW47/'$$xSchpostCouncil 22'!BW$123</f>
        <v>0</v>
      </c>
      <c r="BX47" s="6">
        <v>511366.73</v>
      </c>
      <c r="BY47" s="6"/>
      <c r="BZ47" s="6"/>
      <c r="CA47" s="6"/>
      <c r="CB47" s="6"/>
      <c r="CC47" s="6"/>
      <c r="CD47" s="6"/>
      <c r="CE47" s="6"/>
      <c r="CF47" s="6">
        <v>156529</v>
      </c>
      <c r="CI47" s="43">
        <f>'$$xSchpostCouncil 22'!CI47/'$$xSchpostCouncil 22'!CI$123</f>
        <v>1</v>
      </c>
      <c r="CJ47" s="43">
        <f>'$$xSchpostCouncil 22'!CJ47/'$$xSchpostCouncil 22'!CJ$123</f>
        <v>0</v>
      </c>
      <c r="CK47" s="43">
        <f>'$$xSchpostCouncil 22'!CK47/'$$xSchpostCouncil 22'!CK$123</f>
        <v>0.50000550182110282</v>
      </c>
      <c r="CL47" s="43">
        <f>'$$xSchpostCouncil 22'!CL47/'$$xSchpostCouncil 22'!CL$123</f>
        <v>0</v>
      </c>
      <c r="CM47" s="43">
        <f>'$$xSchpostCouncil 22'!CM47/'$$xSchpostCouncil 22'!CM$123</f>
        <v>0</v>
      </c>
      <c r="CN47" s="43">
        <f>'$$xSchpostCouncil 22'!CN47/'$$xSchpostCouncil 22'!CN$123</f>
        <v>0</v>
      </c>
      <c r="CO47" s="43">
        <f>'$$xSchpostCouncil 22'!CO47/'$$xSchpostCouncil 22'!CO$123</f>
        <v>3</v>
      </c>
      <c r="CP47" s="43">
        <f>'$$xSchpostCouncil 22'!CP47/'$$xSchpostCouncil 22'!CP$123</f>
        <v>2</v>
      </c>
      <c r="CQ47" s="43">
        <f>'$$xSchpostCouncil 22'!CQ47/'$$xSchpostCouncil 22'!CQ$123</f>
        <v>12</v>
      </c>
      <c r="CR47" s="43">
        <f>'$$xSchpostCouncil 22'!CR47/'$$xSchpostCouncil 22'!CR$123</f>
        <v>0</v>
      </c>
      <c r="CS47" s="6"/>
      <c r="CT47" s="6"/>
      <c r="CU47" s="6"/>
      <c r="CV47" s="43">
        <f>'$$xSchpostCouncil 22'!CV47/'$$xSchpostCouncil 22'!CV$123</f>
        <v>0</v>
      </c>
      <c r="CW47" s="43">
        <f>'$$xSchpostCouncil 22'!CW47/'$$xSchpostCouncil 22'!CW$123</f>
        <v>0</v>
      </c>
      <c r="CX47" s="6">
        <v>0</v>
      </c>
      <c r="CY47" s="6"/>
      <c r="CZ47" s="6"/>
      <c r="DB47" s="43">
        <f>'$$xSchpostCouncil 22'!DB47/'$$xSchpostCouncil 22'!DB$123</f>
        <v>0</v>
      </c>
      <c r="DC47" s="43">
        <f>'$$xSchpostCouncil 22'!DC47/'$$xSchpostCouncil 22'!DC$123</f>
        <v>0</v>
      </c>
      <c r="DF47" s="43">
        <f>'$$xSchpostCouncil 22'!DF47/'$$xSchpostCouncil 22'!DF$123</f>
        <v>0</v>
      </c>
      <c r="DG47" s="43">
        <f>'$$xSchpostCouncil 22'!DG47/'$$xSchpostCouncil 22'!DG$123</f>
        <v>0</v>
      </c>
      <c r="DH47" s="43">
        <f>'$$xSchpostCouncil 22'!DH47/'$$xSchpostCouncil 22'!DH$123</f>
        <v>0</v>
      </c>
      <c r="DI47" s="43">
        <f>'$$xSchpostCouncil 22'!DI47/'$$xSchpostCouncil 22'!DI$123</f>
        <v>0</v>
      </c>
      <c r="DJ47" s="43">
        <f>'$$xSchpostCouncil 22'!DJ47/'$$xSchpostCouncil 22'!DJ$123</f>
        <v>0</v>
      </c>
      <c r="DK47" s="43">
        <f>'$$xSchpostCouncil 22'!DK47/'$$xSchpostCouncil 22'!DK$123</f>
        <v>0</v>
      </c>
      <c r="DL47" s="6">
        <v>4044</v>
      </c>
      <c r="DM47" s="6"/>
      <c r="DN47" s="43">
        <f>'$$xSchpostCouncil 22'!DN47/'$$xSchpostCouncil 22'!DN$123</f>
        <v>0</v>
      </c>
      <c r="DO47" s="6"/>
      <c r="DP47" s="6">
        <v>17225</v>
      </c>
      <c r="DU47" s="6">
        <f>VLOOKUP($A47,[3]Totals!$B$2:$K$119,10,FALSE)</f>
        <v>215399.28</v>
      </c>
      <c r="DV47" s="6">
        <f>VLOOKUP($A47,[3]Totals!$B$2:$K$119,9,FALSE)</f>
        <v>167583.5</v>
      </c>
    </row>
    <row r="48" spans="1:126" x14ac:dyDescent="0.2">
      <c r="A48" s="3">
        <v>252</v>
      </c>
      <c r="B48" s="2" t="s">
        <v>81</v>
      </c>
      <c r="C48" t="s">
        <v>7</v>
      </c>
      <c r="D48">
        <v>2</v>
      </c>
      <c r="E48" s="1">
        <v>404</v>
      </c>
      <c r="F48" s="4">
        <v>0.111</v>
      </c>
      <c r="G48">
        <v>45</v>
      </c>
      <c r="H48" s="43">
        <f>'$$xSchpostCouncil 22'!H48/'$$xSchpostCouncil 22'!H$123</f>
        <v>1</v>
      </c>
      <c r="I48" s="43">
        <f>'$$xSchpostCouncil 22'!I48/'$$xSchpostCouncil 22'!I$123</f>
        <v>0</v>
      </c>
      <c r="J48" s="43">
        <f>'$$xSchpostCouncil 22'!J48/'$$xSchpostCouncil 22'!J$123</f>
        <v>0</v>
      </c>
      <c r="K48" s="43">
        <f>'$$xSchpostCouncil 22'!K48/'$$xSchpostCouncil 22'!K$123</f>
        <v>1</v>
      </c>
      <c r="L48" s="6">
        <v>3471</v>
      </c>
      <c r="M48" s="43">
        <f>'$$xSchpostCouncil 22'!M48/'$$xSchpostCouncil 22'!M$123</f>
        <v>1</v>
      </c>
      <c r="N48" s="43">
        <f>'$$xSchpostCouncil 22'!N48/'$$xSchpostCouncil 22'!N$123</f>
        <v>1</v>
      </c>
      <c r="O48" s="43">
        <f>'$$xSchpostCouncil 22'!O48/'$$xSchpostCouncil 22'!O$123</f>
        <v>2</v>
      </c>
      <c r="P48" s="43">
        <f>'$$xSchpostCouncil 22'!P48/'$$xSchpostCouncil 22'!P$123</f>
        <v>1</v>
      </c>
      <c r="Q48" s="43">
        <f>'$$xSchpostCouncil 22'!Q48/'$$xSchpostCouncil 22'!Q$123</f>
        <v>1</v>
      </c>
      <c r="R48" s="43">
        <f>'$$xSchpostCouncil 22'!R48/'$$xSchpostCouncil 22'!R$123</f>
        <v>0</v>
      </c>
      <c r="S48" s="43">
        <f>'$$xSchpostCouncil 22'!S48/'$$xSchpostCouncil 22'!S$123</f>
        <v>2</v>
      </c>
      <c r="T48" s="43">
        <f>'$$xSchpostCouncil 22'!T48/'$$xSchpostCouncil 22'!T$123</f>
        <v>3</v>
      </c>
      <c r="U48" s="6"/>
      <c r="V48" s="6"/>
      <c r="W48" s="6"/>
      <c r="X48" s="6"/>
      <c r="Y48" s="43">
        <f>'$$xSchpostCouncil 22'!Y48/'$$xSchpostCouncil 22'!Y$123</f>
        <v>0</v>
      </c>
      <c r="Z48" s="43">
        <f>'$$xSchpostCouncil 22'!Z48/'$$xSchpostCouncil 22'!Z$123</f>
        <v>0</v>
      </c>
      <c r="AA48" s="43">
        <f>'$$xSchpostCouncil 22'!AA48/'$$xSchpostCouncil 22'!AA$123</f>
        <v>0</v>
      </c>
      <c r="AB48" s="43">
        <f>'$$xSchpostCouncil 22'!AB48/'$$xSchpostCouncil 22'!AB$123</f>
        <v>0</v>
      </c>
      <c r="AC48" s="6"/>
      <c r="AD48" s="6">
        <v>134394</v>
      </c>
      <c r="AE48" s="43">
        <f>'$$xSchpostCouncil 22'!AE48/'$$xSchpostCouncil 22'!AE$123</f>
        <v>1</v>
      </c>
      <c r="AF48" s="43">
        <f>'$$xSchpostCouncil 22'!AF48/'$$xSchpostCouncil 22'!AF$123</f>
        <v>1</v>
      </c>
      <c r="AG48" s="43">
        <f>'$$xSchpostCouncil 22'!AG48/'$$xSchpostCouncil 22'!AG$123</f>
        <v>3</v>
      </c>
      <c r="AH48" s="43">
        <f>'$$xSchpostCouncil 22'!AH48/'$$xSchpostCouncil 22'!AH$123</f>
        <v>0</v>
      </c>
      <c r="AI48" s="43">
        <f>'$$xSchpostCouncil 22'!AI48/'$$xSchpostCouncil 22'!AI$123</f>
        <v>0</v>
      </c>
      <c r="AJ48" s="43"/>
      <c r="AK48" s="43">
        <f>'$$xSchpostCouncil 22'!AK48/'$$xSchpostCouncil 22'!AK$123</f>
        <v>0</v>
      </c>
      <c r="AL48" s="43">
        <f>'$$xSchpostCouncil 22'!AL48/'$$xSchpostCouncil 22'!AL$123</f>
        <v>0</v>
      </c>
      <c r="AM48" s="6"/>
      <c r="AN48" s="6"/>
      <c r="AO48" s="43">
        <f>'$$xSchpostCouncil 22'!AO48/'$$xSchpostCouncil 22'!AO$123</f>
        <v>2</v>
      </c>
      <c r="AP48" s="43">
        <f>'$$xSchpostCouncil 22'!AP48/'$$xSchpostCouncil 22'!AP$123</f>
        <v>0</v>
      </c>
      <c r="AQ48" s="43">
        <f>'$$xSchpostCouncil 22'!AQ48/'$$xSchpostCouncil 22'!AQ$123</f>
        <v>0</v>
      </c>
      <c r="AR48" s="6"/>
      <c r="AS48" s="6"/>
      <c r="AT48" s="6"/>
      <c r="AU48" s="6"/>
      <c r="AV48" s="6"/>
      <c r="AW48" s="6">
        <v>0</v>
      </c>
      <c r="AX48" s="6"/>
      <c r="AY48" s="6"/>
      <c r="AZ48" s="6">
        <v>0</v>
      </c>
      <c r="BA48" s="6"/>
      <c r="BB48" s="6">
        <v>10100</v>
      </c>
      <c r="BC48" s="43">
        <f>'$$xSchpostCouncil 22'!BC48/'$$xSchpostCouncil 22'!BC$123</f>
        <v>0</v>
      </c>
      <c r="BD48" s="43">
        <f>'$$xSchpostCouncil 22'!BD48/'$$xSchpostCouncil 22'!BD$123</f>
        <v>0</v>
      </c>
      <c r="BE48" s="6"/>
      <c r="BF48" s="6"/>
      <c r="BG48" s="6"/>
      <c r="BH48" s="43">
        <f>'$$xSchpostCouncil 22'!BH48/'$$xSchpostCouncil 22'!BH$123</f>
        <v>0</v>
      </c>
      <c r="BI48" s="6"/>
      <c r="BJ48" s="43">
        <f>'$$xSchpostCouncil 22'!BJ48/'$$xSchpostCouncil 22'!BJ$123</f>
        <v>0</v>
      </c>
      <c r="BK48" s="6"/>
      <c r="BL48" s="43">
        <f>'$$xSchpostCouncil 22'!BL48/'$$xSchpostCouncil 22'!BL$123</f>
        <v>0</v>
      </c>
      <c r="BM48" s="6"/>
      <c r="BN48" s="43">
        <f>'$$xSchpostCouncil 22'!BN48/'$$xSchpostCouncil 22'!BN$123</f>
        <v>0</v>
      </c>
      <c r="BO48" s="43">
        <f>'$$xSchpostCouncil 22'!BO48/'$$xSchpostCouncil 22'!BO$123</f>
        <v>0</v>
      </c>
      <c r="BP48" s="6"/>
      <c r="BQ48" s="6"/>
      <c r="BR48" s="6"/>
      <c r="BS48" s="6"/>
      <c r="BT48" s="6"/>
      <c r="BU48" s="43">
        <f>'$$xSchpostCouncil 22'!BU48/'$$xSchpostCouncil 22'!BU$123</f>
        <v>0</v>
      </c>
      <c r="BV48" s="43">
        <f>'$$xSchpostCouncil 22'!BV48/'$$xSchpostCouncil 22'!BV$123</f>
        <v>0</v>
      </c>
      <c r="BW48" s="43">
        <f>'$$xSchpostCouncil 22'!BW48/'$$xSchpostCouncil 22'!BW$123</f>
        <v>0</v>
      </c>
      <c r="BX48" s="6">
        <v>113918</v>
      </c>
      <c r="BY48" s="6"/>
      <c r="BZ48" s="6"/>
      <c r="CA48" s="6"/>
      <c r="CB48" s="6"/>
      <c r="CC48" s="6"/>
      <c r="CD48" s="6"/>
      <c r="CE48" s="6"/>
      <c r="CF48" s="6">
        <v>0</v>
      </c>
      <c r="CI48" s="43">
        <f>'$$xSchpostCouncil 22'!CI48/'$$xSchpostCouncil 22'!CI$123</f>
        <v>1</v>
      </c>
      <c r="CJ48" s="43">
        <f>'$$xSchpostCouncil 22'!CJ48/'$$xSchpostCouncil 22'!CJ$123</f>
        <v>1</v>
      </c>
      <c r="CK48" s="43">
        <f>'$$xSchpostCouncil 22'!CK48/'$$xSchpostCouncil 22'!CK$123</f>
        <v>1</v>
      </c>
      <c r="CL48" s="43">
        <f>'$$xSchpostCouncil 22'!CL48/'$$xSchpostCouncil 22'!CL$123</f>
        <v>1</v>
      </c>
      <c r="CM48" s="43">
        <f>'$$xSchpostCouncil 22'!CM48/'$$xSchpostCouncil 22'!CM$123</f>
        <v>0</v>
      </c>
      <c r="CN48" s="43">
        <f>'$$xSchpostCouncil 22'!CN48/'$$xSchpostCouncil 22'!CN$123</f>
        <v>0</v>
      </c>
      <c r="CO48" s="43">
        <f>'$$xSchpostCouncil 22'!CO48/'$$xSchpostCouncil 22'!CO$123</f>
        <v>4.500004441720189</v>
      </c>
      <c r="CP48" s="43">
        <f>'$$xSchpostCouncil 22'!CP48/'$$xSchpostCouncil 22'!CP$123</f>
        <v>3</v>
      </c>
      <c r="CQ48" s="43">
        <f>'$$xSchpostCouncil 22'!CQ48/'$$xSchpostCouncil 22'!CQ$123</f>
        <v>17</v>
      </c>
      <c r="CR48" s="43">
        <f>'$$xSchpostCouncil 22'!CR48/'$$xSchpostCouncil 22'!CR$123</f>
        <v>0</v>
      </c>
      <c r="CS48" s="6"/>
      <c r="CT48" s="6"/>
      <c r="CU48" s="6"/>
      <c r="CV48" s="43">
        <f>'$$xSchpostCouncil 22'!CV48/'$$xSchpostCouncil 22'!CV$123</f>
        <v>0</v>
      </c>
      <c r="CW48" s="43">
        <f>'$$xSchpostCouncil 22'!CW48/'$$xSchpostCouncil 22'!CW$123</f>
        <v>0</v>
      </c>
      <c r="CX48" s="6">
        <v>0</v>
      </c>
      <c r="CY48" s="6"/>
      <c r="CZ48" s="6"/>
      <c r="DB48" s="43">
        <f>'$$xSchpostCouncil 22'!DB48/'$$xSchpostCouncil 22'!DB$123</f>
        <v>0</v>
      </c>
      <c r="DC48" s="43">
        <f>'$$xSchpostCouncil 22'!DC48/'$$xSchpostCouncil 22'!DC$123</f>
        <v>0</v>
      </c>
      <c r="DF48" s="43">
        <f>'$$xSchpostCouncil 22'!DF48/'$$xSchpostCouncil 22'!DF$123</f>
        <v>0</v>
      </c>
      <c r="DG48" s="43">
        <f>'$$xSchpostCouncil 22'!DG48/'$$xSchpostCouncil 22'!DG$123</f>
        <v>0</v>
      </c>
      <c r="DH48" s="43">
        <f>'$$xSchpostCouncil 22'!DH48/'$$xSchpostCouncil 22'!DH$123</f>
        <v>0</v>
      </c>
      <c r="DI48" s="43">
        <f>'$$xSchpostCouncil 22'!DI48/'$$xSchpostCouncil 22'!DI$123</f>
        <v>0</v>
      </c>
      <c r="DJ48" s="43">
        <f>'$$xSchpostCouncil 22'!DJ48/'$$xSchpostCouncil 22'!DJ$123</f>
        <v>0</v>
      </c>
      <c r="DK48" s="43">
        <f>'$$xSchpostCouncil 22'!DK48/'$$xSchpostCouncil 22'!DK$123</f>
        <v>0</v>
      </c>
      <c r="DL48" s="6"/>
      <c r="DM48" s="6"/>
      <c r="DN48" s="43">
        <f>'$$xSchpostCouncil 22'!DN48/'$$xSchpostCouncil 22'!DN$123</f>
        <v>0</v>
      </c>
      <c r="DO48" s="6"/>
      <c r="DP48" s="6">
        <v>4375</v>
      </c>
      <c r="DU48" s="6">
        <f>VLOOKUP($A48,[3]Totals!$B$2:$K$119,10,FALSE)</f>
        <v>62800.22</v>
      </c>
      <c r="DV48" s="6">
        <f>VLOOKUP($A48,[3]Totals!$B$2:$K$119,9,FALSE)</f>
        <v>37488</v>
      </c>
    </row>
    <row r="49" spans="1:126" x14ac:dyDescent="0.2">
      <c r="A49" s="3">
        <v>1071</v>
      </c>
      <c r="B49" s="2" t="s">
        <v>80</v>
      </c>
      <c r="C49" t="s">
        <v>19</v>
      </c>
      <c r="D49">
        <v>4</v>
      </c>
      <c r="E49" s="1">
        <v>551</v>
      </c>
      <c r="F49" s="4">
        <v>0.58299999999999996</v>
      </c>
      <c r="G49">
        <v>321</v>
      </c>
      <c r="H49" s="43">
        <f>'$$xSchpostCouncil 22'!H49/'$$xSchpostCouncil 22'!H$123</f>
        <v>1</v>
      </c>
      <c r="I49" s="43">
        <f>'$$xSchpostCouncil 22'!I49/'$$xSchpostCouncil 22'!I$123</f>
        <v>1.4000035533761515</v>
      </c>
      <c r="J49" s="43">
        <f>'$$xSchpostCouncil 22'!J49/'$$xSchpostCouncil 22'!J$123</f>
        <v>0</v>
      </c>
      <c r="K49" s="43">
        <f>'$$xSchpostCouncil 22'!K49/'$$xSchpostCouncil 22'!K$123</f>
        <v>1</v>
      </c>
      <c r="L49" s="6">
        <v>6463</v>
      </c>
      <c r="M49" s="43">
        <f>'$$xSchpostCouncil 22'!M49/'$$xSchpostCouncil 22'!M$123</f>
        <v>1</v>
      </c>
      <c r="N49" s="43">
        <f>'$$xSchpostCouncil 22'!N49/'$$xSchpostCouncil 22'!N$123</f>
        <v>1</v>
      </c>
      <c r="O49" s="43">
        <f>'$$xSchpostCouncil 22'!O49/'$$xSchpostCouncil 22'!O$123</f>
        <v>3</v>
      </c>
      <c r="P49" s="43">
        <f>'$$xSchpostCouncil 22'!P49/'$$xSchpostCouncil 22'!P$123</f>
        <v>1</v>
      </c>
      <c r="Q49" s="43">
        <f>'$$xSchpostCouncil 22'!Q49/'$$xSchpostCouncil 22'!Q$123</f>
        <v>0</v>
      </c>
      <c r="R49" s="43">
        <f>'$$xSchpostCouncil 22'!R49/'$$xSchpostCouncil 22'!R$123</f>
        <v>0</v>
      </c>
      <c r="S49" s="43">
        <f>'$$xSchpostCouncil 22'!S49/'$$xSchpostCouncil 22'!S$123</f>
        <v>0</v>
      </c>
      <c r="T49" s="43">
        <f>'$$xSchpostCouncil 22'!T49/'$$xSchpostCouncil 22'!T$123</f>
        <v>0</v>
      </c>
      <c r="U49" s="6"/>
      <c r="V49" s="6"/>
      <c r="W49" s="6"/>
      <c r="X49" s="6"/>
      <c r="Y49" s="43">
        <f>'$$xSchpostCouncil 22'!Y49/'$$xSchpostCouncil 22'!Y$123</f>
        <v>0</v>
      </c>
      <c r="Z49" s="43">
        <f>'$$xSchpostCouncil 22'!Z49/'$$xSchpostCouncil 22'!Z$123</f>
        <v>0</v>
      </c>
      <c r="AA49" s="43">
        <f>'$$xSchpostCouncil 22'!AA49/'$$xSchpostCouncil 22'!AA$123</f>
        <v>0</v>
      </c>
      <c r="AB49" s="43">
        <f>'$$xSchpostCouncil 22'!AB49/'$$xSchpostCouncil 22'!AB$123</f>
        <v>0</v>
      </c>
      <c r="AC49" s="6"/>
      <c r="AD49" s="6">
        <v>209809</v>
      </c>
      <c r="AE49" s="43">
        <f>'$$xSchpostCouncil 22'!AE49/'$$xSchpostCouncil 22'!AE$123</f>
        <v>1</v>
      </c>
      <c r="AF49" s="43">
        <f>'$$xSchpostCouncil 22'!AF49/'$$xSchpostCouncil 22'!AF$123</f>
        <v>2</v>
      </c>
      <c r="AG49" s="43">
        <f>'$$xSchpostCouncil 22'!AG49/'$$xSchpostCouncil 22'!AG$123</f>
        <v>10</v>
      </c>
      <c r="AH49" s="43">
        <f>'$$xSchpostCouncil 22'!AH49/'$$xSchpostCouncil 22'!AH$123</f>
        <v>0</v>
      </c>
      <c r="AI49" s="43">
        <f>'$$xSchpostCouncil 22'!AI49/'$$xSchpostCouncil 22'!AI$123</f>
        <v>5</v>
      </c>
      <c r="AJ49" s="43"/>
      <c r="AK49" s="43">
        <f>'$$xSchpostCouncil 22'!AK49/'$$xSchpostCouncil 22'!AK$123</f>
        <v>0</v>
      </c>
      <c r="AL49" s="43">
        <f>'$$xSchpostCouncil 22'!AL49/'$$xSchpostCouncil 22'!AL$123</f>
        <v>0</v>
      </c>
      <c r="AM49" s="6"/>
      <c r="AN49" s="6"/>
      <c r="AO49" s="43">
        <f>'$$xSchpostCouncil 22'!AO49/'$$xSchpostCouncil 22'!AO$123</f>
        <v>8</v>
      </c>
      <c r="AP49" s="43">
        <f>'$$xSchpostCouncil 22'!AP49/'$$xSchpostCouncil 22'!AP$123</f>
        <v>0</v>
      </c>
      <c r="AQ49" s="43">
        <f>'$$xSchpostCouncil 22'!AQ49/'$$xSchpostCouncil 22'!AQ$123</f>
        <v>0</v>
      </c>
      <c r="AR49" s="6"/>
      <c r="AS49" s="6"/>
      <c r="AT49" s="6"/>
      <c r="AU49" s="6"/>
      <c r="AV49" s="6"/>
      <c r="AW49" s="6">
        <v>0</v>
      </c>
      <c r="AX49" s="6"/>
      <c r="AY49" s="6"/>
      <c r="AZ49" s="6">
        <v>182434.42</v>
      </c>
      <c r="BA49" s="6"/>
      <c r="BB49" s="6"/>
      <c r="BC49" s="43">
        <f>'$$xSchpostCouncil 22'!BC49/'$$xSchpostCouncil 22'!BC$123</f>
        <v>0</v>
      </c>
      <c r="BD49" s="43">
        <f>'$$xSchpostCouncil 22'!BD49/'$$xSchpostCouncil 22'!BD$123</f>
        <v>0</v>
      </c>
      <c r="BE49" s="6"/>
      <c r="BF49" s="6"/>
      <c r="BG49" s="6"/>
      <c r="BH49" s="43">
        <f>'$$xSchpostCouncil 22'!BH49/'$$xSchpostCouncil 22'!BH$123</f>
        <v>0</v>
      </c>
      <c r="BI49" s="6"/>
      <c r="BJ49" s="43">
        <f>'$$xSchpostCouncil 22'!BJ49/'$$xSchpostCouncil 22'!BJ$123</f>
        <v>0</v>
      </c>
      <c r="BK49" s="6"/>
      <c r="BL49" s="43">
        <f>'$$xSchpostCouncil 22'!BL49/'$$xSchpostCouncil 22'!BL$123</f>
        <v>0</v>
      </c>
      <c r="BM49" s="6"/>
      <c r="BN49" s="43">
        <f>'$$xSchpostCouncil 22'!BN49/'$$xSchpostCouncil 22'!BN$123</f>
        <v>0</v>
      </c>
      <c r="BO49" s="43">
        <f>'$$xSchpostCouncil 22'!BO49/'$$xSchpostCouncil 22'!BO$123</f>
        <v>0</v>
      </c>
      <c r="BP49" s="6"/>
      <c r="BQ49" s="6"/>
      <c r="BR49" s="6"/>
      <c r="BS49" s="6"/>
      <c r="BT49" s="6"/>
      <c r="BU49" s="43">
        <f>'$$xSchpostCouncil 22'!BU49/'$$xSchpostCouncil 22'!BU$123</f>
        <v>0</v>
      </c>
      <c r="BV49" s="43">
        <f>'$$xSchpostCouncil 22'!BV49/'$$xSchpostCouncil 22'!BV$123</f>
        <v>0</v>
      </c>
      <c r="BW49" s="43">
        <f>'$$xSchpostCouncil 22'!BW49/'$$xSchpostCouncil 22'!BW$123</f>
        <v>0</v>
      </c>
      <c r="BX49" s="6">
        <v>812617</v>
      </c>
      <c r="BY49" s="6"/>
      <c r="BZ49" s="6"/>
      <c r="CA49" s="6"/>
      <c r="CB49" s="6"/>
      <c r="CC49" s="6"/>
      <c r="CD49" s="6"/>
      <c r="CE49" s="6"/>
      <c r="CF49" s="6">
        <v>137569</v>
      </c>
      <c r="CI49" s="43">
        <f>'$$xSchpostCouncil 22'!CI49/'$$xSchpostCouncil 22'!CI$123</f>
        <v>1</v>
      </c>
      <c r="CJ49" s="43">
        <f>'$$xSchpostCouncil 22'!CJ49/'$$xSchpostCouncil 22'!CJ$123</f>
        <v>1.7999987222814942</v>
      </c>
      <c r="CK49" s="43">
        <f>'$$xSchpostCouncil 22'!CK49/'$$xSchpostCouncil 22'!CK$123</f>
        <v>1</v>
      </c>
      <c r="CL49" s="43">
        <f>'$$xSchpostCouncil 22'!CL49/'$$xSchpostCouncil 22'!CL$123</f>
        <v>1.4000078990501392</v>
      </c>
      <c r="CM49" s="43">
        <f>'$$xSchpostCouncil 22'!CM49/'$$xSchpostCouncil 22'!CM$123</f>
        <v>0</v>
      </c>
      <c r="CN49" s="43">
        <f>'$$xSchpostCouncil 22'!CN49/'$$xSchpostCouncil 22'!CN$123</f>
        <v>0</v>
      </c>
      <c r="CO49" s="43">
        <f>'$$xSchpostCouncil 22'!CO49/'$$xSchpostCouncil 22'!CO$123</f>
        <v>0</v>
      </c>
      <c r="CP49" s="43">
        <f>'$$xSchpostCouncil 22'!CP49/'$$xSchpostCouncil 22'!CP$123</f>
        <v>0</v>
      </c>
      <c r="CQ49" s="43">
        <f>'$$xSchpostCouncil 22'!CQ49/'$$xSchpostCouncil 22'!CQ$123</f>
        <v>25.100000888344038</v>
      </c>
      <c r="CR49" s="43">
        <f>'$$xSchpostCouncil 22'!CR49/'$$xSchpostCouncil 22'!CR$123</f>
        <v>3</v>
      </c>
      <c r="CS49" s="6">
        <v>23000</v>
      </c>
      <c r="CT49" s="6">
        <v>5000</v>
      </c>
      <c r="CU49" s="6">
        <v>100000</v>
      </c>
      <c r="CV49" s="43">
        <f>'$$xSchpostCouncil 22'!CV49/'$$xSchpostCouncil 22'!CV$123</f>
        <v>0</v>
      </c>
      <c r="CW49" s="43">
        <f>'$$xSchpostCouncil 22'!CW49/'$$xSchpostCouncil 22'!CW$123</f>
        <v>1</v>
      </c>
      <c r="CX49" s="6">
        <v>0</v>
      </c>
      <c r="CY49" s="6"/>
      <c r="CZ49" s="6"/>
      <c r="DB49" s="43">
        <f>'$$xSchpostCouncil 22'!DB49/'$$xSchpostCouncil 22'!DB$123</f>
        <v>2</v>
      </c>
      <c r="DC49" s="43">
        <f>'$$xSchpostCouncil 22'!DC49/'$$xSchpostCouncil 22'!DC$123</f>
        <v>0</v>
      </c>
      <c r="DF49" s="43">
        <f>'$$xSchpostCouncil 22'!DF49/'$$xSchpostCouncil 22'!DF$123</f>
        <v>0</v>
      </c>
      <c r="DG49" s="43">
        <f>'$$xSchpostCouncil 22'!DG49/'$$xSchpostCouncil 22'!DG$123</f>
        <v>0</v>
      </c>
      <c r="DH49" s="43">
        <f>'$$xSchpostCouncil 22'!DH49/'$$xSchpostCouncil 22'!DH$123</f>
        <v>0</v>
      </c>
      <c r="DI49" s="43">
        <f>'$$xSchpostCouncil 22'!DI49/'$$xSchpostCouncil 22'!DI$123</f>
        <v>0</v>
      </c>
      <c r="DJ49" s="43">
        <f>'$$xSchpostCouncil 22'!DJ49/'$$xSchpostCouncil 22'!DJ$123</f>
        <v>0</v>
      </c>
      <c r="DK49" s="43">
        <f>'$$xSchpostCouncil 22'!DK49/'$$xSchpostCouncil 22'!DK$123</f>
        <v>0</v>
      </c>
      <c r="DL49" s="6">
        <v>6428</v>
      </c>
      <c r="DM49" s="6"/>
      <c r="DN49" s="43">
        <f>'$$xSchpostCouncil 22'!DN49/'$$xSchpostCouncil 22'!DN$123</f>
        <v>0</v>
      </c>
      <c r="DO49" s="6"/>
      <c r="DP49" s="6">
        <v>22430</v>
      </c>
      <c r="DU49" s="6">
        <f>VLOOKUP($A49,[3]Totals!$B$2:$K$119,10,FALSE)</f>
        <v>230674.73</v>
      </c>
      <c r="DV49" s="6">
        <f>VLOOKUP($A49,[3]Totals!$B$2:$K$119,9,FALSE)</f>
        <v>228699</v>
      </c>
    </row>
    <row r="50" spans="1:126" x14ac:dyDescent="0.2">
      <c r="A50" s="3">
        <v>339</v>
      </c>
      <c r="B50" s="2" t="s">
        <v>79</v>
      </c>
      <c r="C50" t="s">
        <v>7</v>
      </c>
      <c r="D50">
        <v>6</v>
      </c>
      <c r="E50" s="1">
        <v>439</v>
      </c>
      <c r="F50" s="4">
        <v>0.52200000000000002</v>
      </c>
      <c r="G50">
        <v>229</v>
      </c>
      <c r="H50" s="43">
        <f>'$$xSchpostCouncil 22'!H50/'$$xSchpostCouncil 22'!H$123</f>
        <v>1</v>
      </c>
      <c r="I50" s="43">
        <f>'$$xSchpostCouncil 22'!I50/'$$xSchpostCouncil 22'!I$123</f>
        <v>0</v>
      </c>
      <c r="J50" s="43">
        <f>'$$xSchpostCouncil 22'!J50/'$$xSchpostCouncil 22'!J$123</f>
        <v>0</v>
      </c>
      <c r="K50" s="43">
        <f>'$$xSchpostCouncil 22'!K50/'$$xSchpostCouncil 22'!K$123</f>
        <v>1</v>
      </c>
      <c r="L50" s="6">
        <v>6688</v>
      </c>
      <c r="M50" s="43">
        <f>'$$xSchpostCouncil 22'!M50/'$$xSchpostCouncil 22'!M$123</f>
        <v>1</v>
      </c>
      <c r="N50" s="43">
        <f>'$$xSchpostCouncil 22'!N50/'$$xSchpostCouncil 22'!N$123</f>
        <v>1</v>
      </c>
      <c r="O50" s="43">
        <f>'$$xSchpostCouncil 22'!O50/'$$xSchpostCouncil 22'!O$123</f>
        <v>2</v>
      </c>
      <c r="P50" s="43">
        <f>'$$xSchpostCouncil 22'!P50/'$$xSchpostCouncil 22'!P$123</f>
        <v>1</v>
      </c>
      <c r="Q50" s="43">
        <f>'$$xSchpostCouncil 22'!Q50/'$$xSchpostCouncil 22'!Q$123</f>
        <v>3</v>
      </c>
      <c r="R50" s="43">
        <f>'$$xSchpostCouncil 22'!R50/'$$xSchpostCouncil 22'!R$123</f>
        <v>1</v>
      </c>
      <c r="S50" s="43">
        <f>'$$xSchpostCouncil 22'!S50/'$$xSchpostCouncil 22'!S$123</f>
        <v>3</v>
      </c>
      <c r="T50" s="43">
        <f>'$$xSchpostCouncil 22'!T50/'$$xSchpostCouncil 22'!T$123</f>
        <v>7</v>
      </c>
      <c r="U50" s="6"/>
      <c r="V50" s="6"/>
      <c r="W50" s="6"/>
      <c r="X50" s="6"/>
      <c r="Y50" s="43">
        <f>'$$xSchpostCouncil 22'!Y50/'$$xSchpostCouncil 22'!Y$123</f>
        <v>0</v>
      </c>
      <c r="Z50" s="43">
        <f>'$$xSchpostCouncil 22'!Z50/'$$xSchpostCouncil 22'!Z$123</f>
        <v>0</v>
      </c>
      <c r="AA50" s="43">
        <f>'$$xSchpostCouncil 22'!AA50/'$$xSchpostCouncil 22'!AA$123</f>
        <v>0</v>
      </c>
      <c r="AB50" s="43">
        <f>'$$xSchpostCouncil 22'!AB50/'$$xSchpostCouncil 22'!AB$123</f>
        <v>0</v>
      </c>
      <c r="AC50" s="6"/>
      <c r="AD50" s="6">
        <v>166860</v>
      </c>
      <c r="AE50" s="43">
        <f>'$$xSchpostCouncil 22'!AE50/'$$xSchpostCouncil 22'!AE$123</f>
        <v>1</v>
      </c>
      <c r="AF50" s="43">
        <f>'$$xSchpostCouncil 22'!AF50/'$$xSchpostCouncil 22'!AF$123</f>
        <v>2</v>
      </c>
      <c r="AG50" s="43">
        <f>'$$xSchpostCouncil 22'!AG50/'$$xSchpostCouncil 22'!AG$123</f>
        <v>10</v>
      </c>
      <c r="AH50" s="43">
        <f>'$$xSchpostCouncil 22'!AH50/'$$xSchpostCouncil 22'!AH$123</f>
        <v>0</v>
      </c>
      <c r="AI50" s="43">
        <f>'$$xSchpostCouncil 22'!AI50/'$$xSchpostCouncil 22'!AI$123</f>
        <v>5</v>
      </c>
      <c r="AJ50" s="43"/>
      <c r="AK50" s="43">
        <f>'$$xSchpostCouncil 22'!AK50/'$$xSchpostCouncil 22'!AK$123</f>
        <v>0</v>
      </c>
      <c r="AL50" s="43">
        <f>'$$xSchpostCouncil 22'!AL50/'$$xSchpostCouncil 22'!AL$123</f>
        <v>0</v>
      </c>
      <c r="AM50" s="6"/>
      <c r="AN50" s="6"/>
      <c r="AO50" s="43">
        <f>'$$xSchpostCouncil 22'!AO50/'$$xSchpostCouncil 22'!AO$123</f>
        <v>1</v>
      </c>
      <c r="AP50" s="43">
        <f>'$$xSchpostCouncil 22'!AP50/'$$xSchpostCouncil 22'!AP$123</f>
        <v>0</v>
      </c>
      <c r="AQ50" s="43">
        <f>'$$xSchpostCouncil 22'!AQ50/'$$xSchpostCouncil 22'!AQ$123</f>
        <v>0</v>
      </c>
      <c r="AR50" s="6"/>
      <c r="AS50" s="6">
        <f>34000-20400</f>
        <v>13600</v>
      </c>
      <c r="AT50" s="6">
        <f>34000-30600</f>
        <v>3400</v>
      </c>
      <c r="AU50" s="6">
        <v>10200</v>
      </c>
      <c r="AV50" s="6"/>
      <c r="AW50" s="6">
        <v>51000</v>
      </c>
      <c r="AX50" s="6"/>
      <c r="AY50" s="6"/>
      <c r="AZ50" s="6">
        <v>199058.65</v>
      </c>
      <c r="BA50" s="6"/>
      <c r="BB50" s="6"/>
      <c r="BC50" s="43">
        <f>'$$xSchpostCouncil 22'!BC50/'$$xSchpostCouncil 22'!BC$123</f>
        <v>0</v>
      </c>
      <c r="BD50" s="43">
        <f>'$$xSchpostCouncil 22'!BD50/'$$xSchpostCouncil 22'!BD$123</f>
        <v>0</v>
      </c>
      <c r="BE50" s="6"/>
      <c r="BF50" s="6"/>
      <c r="BG50" s="6"/>
      <c r="BH50" s="43">
        <f>'$$xSchpostCouncil 22'!BH50/'$$xSchpostCouncil 22'!BH$123</f>
        <v>0</v>
      </c>
      <c r="BI50" s="6"/>
      <c r="BJ50" s="43">
        <f>'$$xSchpostCouncil 22'!BJ50/'$$xSchpostCouncil 22'!BJ$123</f>
        <v>0</v>
      </c>
      <c r="BK50" s="6"/>
      <c r="BL50" s="43">
        <f>'$$xSchpostCouncil 22'!BL50/'$$xSchpostCouncil 22'!BL$123</f>
        <v>0</v>
      </c>
      <c r="BM50" s="6"/>
      <c r="BN50" s="43">
        <f>'$$xSchpostCouncil 22'!BN50/'$$xSchpostCouncil 22'!BN$123</f>
        <v>0</v>
      </c>
      <c r="BO50" s="43">
        <f>'$$xSchpostCouncil 22'!BO50/'$$xSchpostCouncil 22'!BO$123</f>
        <v>0</v>
      </c>
      <c r="BP50" s="6"/>
      <c r="BQ50" s="6"/>
      <c r="BR50" s="6"/>
      <c r="BS50" s="6"/>
      <c r="BT50" s="6"/>
      <c r="BU50" s="43">
        <f>'$$xSchpostCouncil 22'!BU50/'$$xSchpostCouncil 22'!BU$123</f>
        <v>0</v>
      </c>
      <c r="BV50" s="43">
        <f>'$$xSchpostCouncil 22'!BV50/'$$xSchpostCouncil 22'!BV$123</f>
        <v>0</v>
      </c>
      <c r="BW50" s="43">
        <f>'$$xSchpostCouncil 22'!BW50/'$$xSchpostCouncil 22'!BW$123</f>
        <v>0</v>
      </c>
      <c r="BX50" s="6">
        <v>579717.68999999994</v>
      </c>
      <c r="BY50" s="6"/>
      <c r="BZ50" s="6"/>
      <c r="CA50" s="6"/>
      <c r="CB50" s="6"/>
      <c r="CC50" s="6"/>
      <c r="CD50" s="6"/>
      <c r="CE50" s="6"/>
      <c r="CF50" s="6">
        <v>112569</v>
      </c>
      <c r="CI50" s="43">
        <f>'$$xSchpostCouncil 22'!CI50/'$$xSchpostCouncil 22'!CI$123</f>
        <v>1</v>
      </c>
      <c r="CJ50" s="43">
        <f>'$$xSchpostCouncil 22'!CJ50/'$$xSchpostCouncil 22'!CJ$123</f>
        <v>1.1000006388592529</v>
      </c>
      <c r="CK50" s="43">
        <f>'$$xSchpostCouncil 22'!CK50/'$$xSchpostCouncil 22'!CK$123</f>
        <v>1</v>
      </c>
      <c r="CL50" s="43">
        <f>'$$xSchpostCouncil 22'!CL50/'$$xSchpostCouncil 22'!CL$123</f>
        <v>1.1000019747625347</v>
      </c>
      <c r="CM50" s="43">
        <f>'$$xSchpostCouncil 22'!CM50/'$$xSchpostCouncil 22'!CM$123</f>
        <v>0</v>
      </c>
      <c r="CN50" s="43">
        <f>'$$xSchpostCouncil 22'!CN50/'$$xSchpostCouncil 22'!CN$123</f>
        <v>0</v>
      </c>
      <c r="CO50" s="43">
        <f>'$$xSchpostCouncil 22'!CO50/'$$xSchpostCouncil 22'!CO$123</f>
        <v>4.500004441720189</v>
      </c>
      <c r="CP50" s="43">
        <f>'$$xSchpostCouncil 22'!CP50/'$$xSchpostCouncil 22'!CP$123</f>
        <v>3</v>
      </c>
      <c r="CQ50" s="43">
        <f>'$$xSchpostCouncil 22'!CQ50/'$$xSchpostCouncil 22'!CQ$123</f>
        <v>18</v>
      </c>
      <c r="CR50" s="43">
        <f>'$$xSchpostCouncil 22'!CR50/'$$xSchpostCouncil 22'!CR$123</f>
        <v>0</v>
      </c>
      <c r="CS50" s="6"/>
      <c r="CT50" s="6"/>
      <c r="CU50" s="6"/>
      <c r="CV50" s="43">
        <f>'$$xSchpostCouncil 22'!CV50/'$$xSchpostCouncil 22'!CV$123</f>
        <v>0</v>
      </c>
      <c r="CW50" s="43">
        <f>'$$xSchpostCouncil 22'!CW50/'$$xSchpostCouncil 22'!CW$123</f>
        <v>0</v>
      </c>
      <c r="CX50" s="6">
        <v>0</v>
      </c>
      <c r="CY50" s="6"/>
      <c r="CZ50" s="6"/>
      <c r="DB50" s="43">
        <f>'$$xSchpostCouncil 22'!DB50/'$$xSchpostCouncil 22'!DB$123</f>
        <v>0</v>
      </c>
      <c r="DC50" s="43">
        <f>'$$xSchpostCouncil 22'!DC50/'$$xSchpostCouncil 22'!DC$123</f>
        <v>0</v>
      </c>
      <c r="DF50" s="43">
        <f>'$$xSchpostCouncil 22'!DF50/'$$xSchpostCouncil 22'!DF$123</f>
        <v>0</v>
      </c>
      <c r="DG50" s="43">
        <f>'$$xSchpostCouncil 22'!DG50/'$$xSchpostCouncil 22'!DG$123</f>
        <v>0</v>
      </c>
      <c r="DH50" s="43">
        <f>'$$xSchpostCouncil 22'!DH50/'$$xSchpostCouncil 22'!DH$123</f>
        <v>0</v>
      </c>
      <c r="DI50" s="43">
        <f>'$$xSchpostCouncil 22'!DI50/'$$xSchpostCouncil 22'!DI$123</f>
        <v>0</v>
      </c>
      <c r="DJ50" s="43">
        <f>'$$xSchpostCouncil 22'!DJ50/'$$xSchpostCouncil 22'!DJ$123</f>
        <v>1</v>
      </c>
      <c r="DK50" s="43">
        <f>'$$xSchpostCouncil 22'!DK50/'$$xSchpostCouncil 22'!DK$123</f>
        <v>0</v>
      </c>
      <c r="DL50" s="6">
        <v>4586</v>
      </c>
      <c r="DM50" s="6"/>
      <c r="DN50" s="43">
        <f>'$$xSchpostCouncil 22'!DN50/'$$xSchpostCouncil 22'!DN$123</f>
        <v>0</v>
      </c>
      <c r="DO50" s="6"/>
      <c r="DP50" s="6">
        <v>21725</v>
      </c>
      <c r="DU50" s="6">
        <f>VLOOKUP($A50,[3]Totals!$B$2:$K$119,10,FALSE)</f>
        <v>168767.02</v>
      </c>
      <c r="DV50" s="6">
        <f>VLOOKUP($A50,[3]Totals!$B$2:$K$119,9,FALSE)</f>
        <v>70306</v>
      </c>
    </row>
    <row r="51" spans="1:126" x14ac:dyDescent="0.2">
      <c r="A51" s="3">
        <v>254</v>
      </c>
      <c r="B51" s="2" t="s">
        <v>78</v>
      </c>
      <c r="C51" t="s">
        <v>7</v>
      </c>
      <c r="D51">
        <v>3</v>
      </c>
      <c r="E51" s="1">
        <v>718</v>
      </c>
      <c r="F51" s="4">
        <v>2.5999999999999999E-2</v>
      </c>
      <c r="G51">
        <v>19</v>
      </c>
      <c r="H51" s="43">
        <f>'$$xSchpostCouncil 22'!H51/'$$xSchpostCouncil 22'!H$123</f>
        <v>1</v>
      </c>
      <c r="I51" s="43">
        <f>'$$xSchpostCouncil 22'!I51/'$$xSchpostCouncil 22'!I$123</f>
        <v>0</v>
      </c>
      <c r="J51" s="43">
        <f>'$$xSchpostCouncil 22'!J51/'$$xSchpostCouncil 22'!J$123</f>
        <v>0</v>
      </c>
      <c r="K51" s="43">
        <f>'$$xSchpostCouncil 22'!K51/'$$xSchpostCouncil 22'!K$123</f>
        <v>1</v>
      </c>
      <c r="L51" s="6">
        <v>6653</v>
      </c>
      <c r="M51" s="43">
        <f>'$$xSchpostCouncil 22'!M51/'$$xSchpostCouncil 22'!M$123</f>
        <v>1</v>
      </c>
      <c r="N51" s="43">
        <f>'$$xSchpostCouncil 22'!N51/'$$xSchpostCouncil 22'!N$123</f>
        <v>1</v>
      </c>
      <c r="O51" s="43">
        <f>'$$xSchpostCouncil 22'!O51/'$$xSchpostCouncil 22'!O$123</f>
        <v>3</v>
      </c>
      <c r="P51" s="43">
        <f>'$$xSchpostCouncil 22'!P51/'$$xSchpostCouncil 22'!P$123</f>
        <v>1</v>
      </c>
      <c r="Q51" s="43">
        <f>'$$xSchpostCouncil 22'!Q51/'$$xSchpostCouncil 22'!Q$123</f>
        <v>0</v>
      </c>
      <c r="R51" s="43">
        <f>'$$xSchpostCouncil 22'!R51/'$$xSchpostCouncil 22'!R$123</f>
        <v>0</v>
      </c>
      <c r="S51" s="43">
        <f>'$$xSchpostCouncil 22'!S51/'$$xSchpostCouncil 22'!S$123</f>
        <v>3</v>
      </c>
      <c r="T51" s="43">
        <f>'$$xSchpostCouncil 22'!T51/'$$xSchpostCouncil 22'!T$123</f>
        <v>3</v>
      </c>
      <c r="U51" s="6"/>
      <c r="V51" s="6"/>
      <c r="W51" s="6"/>
      <c r="X51" s="6"/>
      <c r="Y51" s="43">
        <f>'$$xSchpostCouncil 22'!Y51/'$$xSchpostCouncil 22'!Y$123</f>
        <v>0</v>
      </c>
      <c r="Z51" s="43">
        <f>'$$xSchpostCouncil 22'!Z51/'$$xSchpostCouncil 22'!Z$123</f>
        <v>0</v>
      </c>
      <c r="AA51" s="43">
        <f>'$$xSchpostCouncil 22'!AA51/'$$xSchpostCouncil 22'!AA$123</f>
        <v>0</v>
      </c>
      <c r="AB51" s="43">
        <f>'$$xSchpostCouncil 22'!AB51/'$$xSchpostCouncil 22'!AB$123</f>
        <v>0</v>
      </c>
      <c r="AC51" s="6"/>
      <c r="AD51" s="6">
        <v>216139</v>
      </c>
      <c r="AE51" s="43">
        <f>'$$xSchpostCouncil 22'!AE51/'$$xSchpostCouncil 22'!AE$123</f>
        <v>1</v>
      </c>
      <c r="AF51" s="43">
        <f>'$$xSchpostCouncil 22'!AF51/'$$xSchpostCouncil 22'!AF$123</f>
        <v>1</v>
      </c>
      <c r="AG51" s="43">
        <f>'$$xSchpostCouncil 22'!AG51/'$$xSchpostCouncil 22'!AG$123</f>
        <v>6</v>
      </c>
      <c r="AH51" s="43">
        <f>'$$xSchpostCouncil 22'!AH51/'$$xSchpostCouncil 22'!AH$123</f>
        <v>0</v>
      </c>
      <c r="AI51" s="43">
        <f>'$$xSchpostCouncil 22'!AI51/'$$xSchpostCouncil 22'!AI$123</f>
        <v>0</v>
      </c>
      <c r="AJ51" s="43"/>
      <c r="AK51" s="43">
        <f>'$$xSchpostCouncil 22'!AK51/'$$xSchpostCouncil 22'!AK$123</f>
        <v>0</v>
      </c>
      <c r="AL51" s="43">
        <f>'$$xSchpostCouncil 22'!AL51/'$$xSchpostCouncil 22'!AL$123</f>
        <v>0</v>
      </c>
      <c r="AM51" s="6"/>
      <c r="AN51" s="6"/>
      <c r="AO51" s="43">
        <f>'$$xSchpostCouncil 22'!AO51/'$$xSchpostCouncil 22'!AO$123</f>
        <v>1</v>
      </c>
      <c r="AP51" s="43">
        <f>'$$xSchpostCouncil 22'!AP51/'$$xSchpostCouncil 22'!AP$123</f>
        <v>0</v>
      </c>
      <c r="AQ51" s="43">
        <f>'$$xSchpostCouncil 22'!AQ51/'$$xSchpostCouncil 22'!AQ$123</f>
        <v>0</v>
      </c>
      <c r="AR51" s="6"/>
      <c r="AS51" s="6"/>
      <c r="AT51" s="6"/>
      <c r="AU51" s="6"/>
      <c r="AV51" s="6"/>
      <c r="AW51" s="6">
        <v>0</v>
      </c>
      <c r="AX51" s="6"/>
      <c r="AY51" s="6"/>
      <c r="AZ51" s="6">
        <v>0</v>
      </c>
      <c r="BA51" s="6"/>
      <c r="BB51" s="6">
        <v>17950</v>
      </c>
      <c r="BC51" s="43">
        <f>'$$xSchpostCouncil 22'!BC51/'$$xSchpostCouncil 22'!BC$123</f>
        <v>0</v>
      </c>
      <c r="BD51" s="43">
        <f>'$$xSchpostCouncil 22'!BD51/'$$xSchpostCouncil 22'!BD$123</f>
        <v>0</v>
      </c>
      <c r="BE51" s="6"/>
      <c r="BF51" s="6"/>
      <c r="BG51" s="6"/>
      <c r="BH51" s="43">
        <f>'$$xSchpostCouncil 22'!BH51/'$$xSchpostCouncil 22'!BH$123</f>
        <v>0</v>
      </c>
      <c r="BI51" s="6"/>
      <c r="BJ51" s="43">
        <f>'$$xSchpostCouncil 22'!BJ51/'$$xSchpostCouncil 22'!BJ$123</f>
        <v>0</v>
      </c>
      <c r="BK51" s="6"/>
      <c r="BL51" s="43">
        <f>'$$xSchpostCouncil 22'!BL51/'$$xSchpostCouncil 22'!BL$123</f>
        <v>0</v>
      </c>
      <c r="BM51" s="6"/>
      <c r="BN51" s="43">
        <f>'$$xSchpostCouncil 22'!BN51/'$$xSchpostCouncil 22'!BN$123</f>
        <v>0</v>
      </c>
      <c r="BO51" s="43">
        <f>'$$xSchpostCouncil 22'!BO51/'$$xSchpostCouncil 22'!BO$123</f>
        <v>0</v>
      </c>
      <c r="BP51" s="6"/>
      <c r="BQ51" s="6"/>
      <c r="BR51" s="6"/>
      <c r="BS51" s="6"/>
      <c r="BT51" s="6"/>
      <c r="BU51" s="43">
        <f>'$$xSchpostCouncil 22'!BU51/'$$xSchpostCouncil 22'!BU$123</f>
        <v>0</v>
      </c>
      <c r="BV51" s="43">
        <f>'$$xSchpostCouncil 22'!BV51/'$$xSchpostCouncil 22'!BV$123</f>
        <v>0</v>
      </c>
      <c r="BW51" s="43">
        <f>'$$xSchpostCouncil 22'!BW51/'$$xSchpostCouncil 22'!BW$123</f>
        <v>0</v>
      </c>
      <c r="BX51" s="6">
        <v>48099</v>
      </c>
      <c r="BY51" s="6"/>
      <c r="BZ51" s="6"/>
      <c r="CA51" s="6"/>
      <c r="CB51" s="6"/>
      <c r="CC51" s="6">
        <v>15695</v>
      </c>
      <c r="CD51" s="6">
        <v>18249</v>
      </c>
      <c r="CE51" s="6">
        <v>225138</v>
      </c>
      <c r="CF51" s="6">
        <v>225138</v>
      </c>
      <c r="CI51" s="43">
        <f>'$$xSchpostCouncil 22'!CI51/'$$xSchpostCouncil 22'!CI$123</f>
        <v>1</v>
      </c>
      <c r="CJ51" s="43">
        <f>'$$xSchpostCouncil 22'!CJ51/'$$xSchpostCouncil 22'!CJ$123</f>
        <v>1.7999987222814942</v>
      </c>
      <c r="CK51" s="43">
        <f>'$$xSchpostCouncil 22'!CK51/'$$xSchpostCouncil 22'!CK$123</f>
        <v>1</v>
      </c>
      <c r="CL51" s="43">
        <f>'$$xSchpostCouncil 22'!CL51/'$$xSchpostCouncil 22'!CL$123</f>
        <v>1.7999960504749304</v>
      </c>
      <c r="CM51" s="43">
        <f>'$$xSchpostCouncil 22'!CM51/'$$xSchpostCouncil 22'!CM$123</f>
        <v>0</v>
      </c>
      <c r="CN51" s="43">
        <f>'$$xSchpostCouncil 22'!CN51/'$$xSchpostCouncil 22'!CN$123</f>
        <v>0</v>
      </c>
      <c r="CO51" s="43">
        <f>'$$xSchpostCouncil 22'!CO51/'$$xSchpostCouncil 22'!CO$123</f>
        <v>5.500004441720189</v>
      </c>
      <c r="CP51" s="43">
        <f>'$$xSchpostCouncil 22'!CP51/'$$xSchpostCouncil 22'!CP$123</f>
        <v>5</v>
      </c>
      <c r="CQ51" s="43">
        <f>'$$xSchpostCouncil 22'!CQ51/'$$xSchpostCouncil 22'!CQ$123</f>
        <v>31</v>
      </c>
      <c r="CR51" s="43">
        <f>'$$xSchpostCouncil 22'!CR51/'$$xSchpostCouncil 22'!CR$123</f>
        <v>0</v>
      </c>
      <c r="CS51" s="6"/>
      <c r="CT51" s="6"/>
      <c r="CU51" s="6"/>
      <c r="CV51" s="43">
        <f>'$$xSchpostCouncil 22'!CV51/'$$xSchpostCouncil 22'!CV$123</f>
        <v>0</v>
      </c>
      <c r="CW51" s="43">
        <f>'$$xSchpostCouncil 22'!CW51/'$$xSchpostCouncil 22'!CW$123</f>
        <v>0</v>
      </c>
      <c r="CX51" s="6">
        <v>0</v>
      </c>
      <c r="CY51" s="6"/>
      <c r="CZ51" s="6"/>
      <c r="DB51" s="43">
        <f>'$$xSchpostCouncil 22'!DB51/'$$xSchpostCouncil 22'!DB$123</f>
        <v>0</v>
      </c>
      <c r="DC51" s="43">
        <f>'$$xSchpostCouncil 22'!DC51/'$$xSchpostCouncil 22'!DC$123</f>
        <v>0</v>
      </c>
      <c r="DF51" s="43">
        <f>'$$xSchpostCouncil 22'!DF51/'$$xSchpostCouncil 22'!DF$123</f>
        <v>0</v>
      </c>
      <c r="DG51" s="43">
        <f>'$$xSchpostCouncil 22'!DG51/'$$xSchpostCouncil 22'!DG$123</f>
        <v>1</v>
      </c>
      <c r="DH51" s="43">
        <f>'$$xSchpostCouncil 22'!DH51/'$$xSchpostCouncil 22'!DH$123</f>
        <v>0</v>
      </c>
      <c r="DI51" s="43">
        <f>'$$xSchpostCouncil 22'!DI51/'$$xSchpostCouncil 22'!DI$123</f>
        <v>0</v>
      </c>
      <c r="DJ51" s="43">
        <f>'$$xSchpostCouncil 22'!DJ51/'$$xSchpostCouncil 22'!DJ$123</f>
        <v>0</v>
      </c>
      <c r="DK51" s="43">
        <f>'$$xSchpostCouncil 22'!DK51/'$$xSchpostCouncil 22'!DK$123</f>
        <v>0</v>
      </c>
      <c r="DL51" s="6"/>
      <c r="DM51" s="6"/>
      <c r="DN51" s="43">
        <f>'$$xSchpostCouncil 22'!DN51/'$$xSchpostCouncil 22'!DN$123</f>
        <v>0</v>
      </c>
      <c r="DO51" s="6"/>
      <c r="DP51" s="6">
        <v>1400</v>
      </c>
      <c r="DU51" s="6">
        <f>VLOOKUP($A51,[3]Totals!$B$2:$K$119,10,FALSE)</f>
        <v>53537.33</v>
      </c>
      <c r="DV51" s="6">
        <f>VLOOKUP($A51,[3]Totals!$B$2:$K$119,9,FALSE)</f>
        <v>0</v>
      </c>
    </row>
    <row r="52" spans="1:126" x14ac:dyDescent="0.2">
      <c r="A52" s="3">
        <v>433</v>
      </c>
      <c r="B52" s="2" t="s">
        <v>77</v>
      </c>
      <c r="C52" t="s">
        <v>19</v>
      </c>
      <c r="D52">
        <v>6</v>
      </c>
      <c r="E52" s="1">
        <v>389</v>
      </c>
      <c r="F52" s="4">
        <v>0.57599999999999996</v>
      </c>
      <c r="G52">
        <v>224</v>
      </c>
      <c r="H52" s="43">
        <f>'$$xSchpostCouncil 22'!H52/'$$xSchpostCouncil 22'!H$123</f>
        <v>1</v>
      </c>
      <c r="I52" s="43">
        <f>'$$xSchpostCouncil 22'!I52/'$$xSchpostCouncil 22'!I$123</f>
        <v>1</v>
      </c>
      <c r="J52" s="43">
        <f>'$$xSchpostCouncil 22'!J52/'$$xSchpostCouncil 22'!J$123</f>
        <v>0</v>
      </c>
      <c r="K52" s="43">
        <f>'$$xSchpostCouncil 22'!K52/'$$xSchpostCouncil 22'!K$123</f>
        <v>1</v>
      </c>
      <c r="L52" s="6">
        <v>6382</v>
      </c>
      <c r="M52" s="43">
        <f>'$$xSchpostCouncil 22'!M52/'$$xSchpostCouncil 22'!M$123</f>
        <v>1</v>
      </c>
      <c r="N52" s="43">
        <f>'$$xSchpostCouncil 22'!N52/'$$xSchpostCouncil 22'!N$123</f>
        <v>1</v>
      </c>
      <c r="O52" s="43">
        <f>'$$xSchpostCouncil 22'!O52/'$$xSchpostCouncil 22'!O$123</f>
        <v>3</v>
      </c>
      <c r="P52" s="43">
        <f>'$$xSchpostCouncil 22'!P52/'$$xSchpostCouncil 22'!P$123</f>
        <v>1</v>
      </c>
      <c r="Q52" s="43">
        <f>'$$xSchpostCouncil 22'!Q52/'$$xSchpostCouncil 22'!Q$123</f>
        <v>0</v>
      </c>
      <c r="R52" s="43">
        <f>'$$xSchpostCouncil 22'!R52/'$$xSchpostCouncil 22'!R$123</f>
        <v>0</v>
      </c>
      <c r="S52" s="43">
        <f>'$$xSchpostCouncil 22'!S52/'$$xSchpostCouncil 22'!S$123</f>
        <v>0</v>
      </c>
      <c r="T52" s="43">
        <f>'$$xSchpostCouncil 22'!T52/'$$xSchpostCouncil 22'!T$123</f>
        <v>0</v>
      </c>
      <c r="U52" s="6"/>
      <c r="V52" s="6"/>
      <c r="W52" s="6"/>
      <c r="X52" s="6"/>
      <c r="Y52" s="43">
        <f>'$$xSchpostCouncil 22'!Y52/'$$xSchpostCouncil 22'!Y$123</f>
        <v>0</v>
      </c>
      <c r="Z52" s="43">
        <f>'$$xSchpostCouncil 22'!Z52/'$$xSchpostCouncil 22'!Z$123</f>
        <v>0</v>
      </c>
      <c r="AA52" s="43">
        <f>'$$xSchpostCouncil 22'!AA52/'$$xSchpostCouncil 22'!AA$123</f>
        <v>0</v>
      </c>
      <c r="AB52" s="43">
        <f>'$$xSchpostCouncil 22'!AB52/'$$xSchpostCouncil 22'!AB$123</f>
        <v>0</v>
      </c>
      <c r="AC52" s="6"/>
      <c r="AD52" s="6">
        <v>149831</v>
      </c>
      <c r="AE52" s="43">
        <f>'$$xSchpostCouncil 22'!AE52/'$$xSchpostCouncil 22'!AE$123</f>
        <v>1</v>
      </c>
      <c r="AF52" s="43">
        <f>'$$xSchpostCouncil 22'!AF52/'$$xSchpostCouncil 22'!AF$123</f>
        <v>3</v>
      </c>
      <c r="AG52" s="43">
        <f>'$$xSchpostCouncil 22'!AG52/'$$xSchpostCouncil 22'!AG$123</f>
        <v>9</v>
      </c>
      <c r="AH52" s="43">
        <f>'$$xSchpostCouncil 22'!AH52/'$$xSchpostCouncil 22'!AH$123</f>
        <v>0</v>
      </c>
      <c r="AI52" s="43">
        <f>'$$xSchpostCouncil 22'!AI52/'$$xSchpostCouncil 22'!AI$123</f>
        <v>3</v>
      </c>
      <c r="AJ52" s="43"/>
      <c r="AK52" s="43">
        <f>'$$xSchpostCouncil 22'!AK52/'$$xSchpostCouncil 22'!AK$123</f>
        <v>1</v>
      </c>
      <c r="AL52" s="43">
        <f>'$$xSchpostCouncil 22'!AL52/'$$xSchpostCouncil 22'!AL$123</f>
        <v>0</v>
      </c>
      <c r="AM52" s="6"/>
      <c r="AN52" s="6"/>
      <c r="AO52" s="43">
        <f>'$$xSchpostCouncil 22'!AO52/'$$xSchpostCouncil 22'!AO$123</f>
        <v>0</v>
      </c>
      <c r="AP52" s="43">
        <f>'$$xSchpostCouncil 22'!AP52/'$$xSchpostCouncil 22'!AP$123</f>
        <v>0.17999626895504089</v>
      </c>
      <c r="AQ52" s="43">
        <f>'$$xSchpostCouncil 22'!AQ52/'$$xSchpostCouncil 22'!AQ$123</f>
        <v>0</v>
      </c>
      <c r="AR52" s="6"/>
      <c r="AS52" s="6">
        <f>13600-6800</f>
        <v>6800</v>
      </c>
      <c r="AT52" s="6">
        <f>13600-6800</f>
        <v>6800</v>
      </c>
      <c r="AU52" s="6">
        <v>10200</v>
      </c>
      <c r="AV52" s="6"/>
      <c r="AW52" s="6">
        <v>13600</v>
      </c>
      <c r="AX52" s="6"/>
      <c r="AY52" s="6"/>
      <c r="AZ52" s="6">
        <v>176385.72</v>
      </c>
      <c r="BA52" s="6"/>
      <c r="BB52" s="6"/>
      <c r="BC52" s="43">
        <f>'$$xSchpostCouncil 22'!BC52/'$$xSchpostCouncil 22'!BC$123</f>
        <v>0</v>
      </c>
      <c r="BD52" s="43">
        <f>'$$xSchpostCouncil 22'!BD52/'$$xSchpostCouncil 22'!BD$123</f>
        <v>0</v>
      </c>
      <c r="BE52" s="6"/>
      <c r="BF52" s="6"/>
      <c r="BG52" s="6"/>
      <c r="BH52" s="43">
        <f>'$$xSchpostCouncil 22'!BH52/'$$xSchpostCouncil 22'!BH$123</f>
        <v>0</v>
      </c>
      <c r="BI52" s="6"/>
      <c r="BJ52" s="43">
        <f>'$$xSchpostCouncil 22'!BJ52/'$$xSchpostCouncil 22'!BJ$123</f>
        <v>0</v>
      </c>
      <c r="BK52" s="6"/>
      <c r="BL52" s="43">
        <f>'$$xSchpostCouncil 22'!BL52/'$$xSchpostCouncil 22'!BL$123</f>
        <v>0</v>
      </c>
      <c r="BM52" s="6"/>
      <c r="BN52" s="43">
        <f>'$$xSchpostCouncil 22'!BN52/'$$xSchpostCouncil 22'!BN$123</f>
        <v>0</v>
      </c>
      <c r="BO52" s="43">
        <f>'$$xSchpostCouncil 22'!BO52/'$$xSchpostCouncil 22'!BO$123</f>
        <v>0</v>
      </c>
      <c r="BP52" s="6"/>
      <c r="BQ52" s="6"/>
      <c r="BR52" s="6"/>
      <c r="BS52" s="6"/>
      <c r="BT52" s="6"/>
      <c r="BU52" s="43">
        <f>'$$xSchpostCouncil 22'!BU52/'$$xSchpostCouncil 22'!BU$123</f>
        <v>0</v>
      </c>
      <c r="BV52" s="43">
        <f>'$$xSchpostCouncil 22'!BV52/'$$xSchpostCouncil 22'!BV$123</f>
        <v>0</v>
      </c>
      <c r="BW52" s="43">
        <f>'$$xSchpostCouncil 22'!BW52/'$$xSchpostCouncil 22'!BW$123</f>
        <v>0</v>
      </c>
      <c r="BX52" s="6">
        <v>567060</v>
      </c>
      <c r="BY52" s="6"/>
      <c r="BZ52" s="6"/>
      <c r="CA52" s="6"/>
      <c r="CB52" s="6"/>
      <c r="CC52" s="6"/>
      <c r="CD52" s="6"/>
      <c r="CE52" s="6"/>
      <c r="CF52" s="6">
        <v>0</v>
      </c>
      <c r="CI52" s="43">
        <f>'$$xSchpostCouncil 22'!CI52/'$$xSchpostCouncil 22'!CI$123</f>
        <v>1</v>
      </c>
      <c r="CJ52" s="43">
        <f>'$$xSchpostCouncil 22'!CJ52/'$$xSchpostCouncil 22'!CJ$123</f>
        <v>1.3000019165777588</v>
      </c>
      <c r="CK52" s="43">
        <f>'$$xSchpostCouncil 22'!CK52/'$$xSchpostCouncil 22'!CK$123</f>
        <v>1</v>
      </c>
      <c r="CL52" s="43">
        <f>'$$xSchpostCouncil 22'!CL52/'$$xSchpostCouncil 22'!CL$123</f>
        <v>0</v>
      </c>
      <c r="CM52" s="43">
        <f>'$$xSchpostCouncil 22'!CM52/'$$xSchpostCouncil 22'!CM$123</f>
        <v>0</v>
      </c>
      <c r="CN52" s="43">
        <f>'$$xSchpostCouncil 22'!CN52/'$$xSchpostCouncil 22'!CN$123</f>
        <v>0</v>
      </c>
      <c r="CO52" s="43">
        <f>'$$xSchpostCouncil 22'!CO52/'$$xSchpostCouncil 22'!CO$123</f>
        <v>0</v>
      </c>
      <c r="CP52" s="43">
        <f>'$$xSchpostCouncil 22'!CP52/'$$xSchpostCouncil 22'!CP$123</f>
        <v>0</v>
      </c>
      <c r="CQ52" s="43">
        <f>'$$xSchpostCouncil 22'!CQ52/'$$xSchpostCouncil 22'!CQ$123</f>
        <v>17.699997334967886</v>
      </c>
      <c r="CR52" s="43">
        <f>'$$xSchpostCouncil 22'!CR52/'$$xSchpostCouncil 22'!CR$123</f>
        <v>3</v>
      </c>
      <c r="CS52" s="6">
        <v>23000</v>
      </c>
      <c r="CT52" s="6"/>
      <c r="CU52" s="6">
        <v>100000</v>
      </c>
      <c r="CV52" s="43">
        <f>'$$xSchpostCouncil 22'!CV52/'$$xSchpostCouncil 22'!CV$123</f>
        <v>0</v>
      </c>
      <c r="CW52" s="43">
        <f>'$$xSchpostCouncil 22'!CW52/'$$xSchpostCouncil 22'!CW$123</f>
        <v>0</v>
      </c>
      <c r="CX52" s="6">
        <v>0</v>
      </c>
      <c r="CY52" s="6"/>
      <c r="CZ52" s="6"/>
      <c r="DB52" s="43">
        <f>'$$xSchpostCouncil 22'!DB52/'$$xSchpostCouncil 22'!DB$123</f>
        <v>0</v>
      </c>
      <c r="DC52" s="43">
        <f>'$$xSchpostCouncil 22'!DC52/'$$xSchpostCouncil 22'!DC$123</f>
        <v>0</v>
      </c>
      <c r="DF52" s="43">
        <f>'$$xSchpostCouncil 22'!DF52/'$$xSchpostCouncil 22'!DF$123</f>
        <v>0</v>
      </c>
      <c r="DG52" s="43">
        <f>'$$xSchpostCouncil 22'!DG52/'$$xSchpostCouncil 22'!DG$123</f>
        <v>0</v>
      </c>
      <c r="DH52" s="43">
        <f>'$$xSchpostCouncil 22'!DH52/'$$xSchpostCouncil 22'!DH$123</f>
        <v>0</v>
      </c>
      <c r="DI52" s="43">
        <f>'$$xSchpostCouncil 22'!DI52/'$$xSchpostCouncil 22'!DI$123</f>
        <v>1</v>
      </c>
      <c r="DJ52" s="43">
        <f>'$$xSchpostCouncil 22'!DJ52/'$$xSchpostCouncil 22'!DJ$123</f>
        <v>0</v>
      </c>
      <c r="DK52" s="43">
        <f>'$$xSchpostCouncil 22'!DK52/'$$xSchpostCouncil 22'!DK$123</f>
        <v>0</v>
      </c>
      <c r="DL52" s="6">
        <v>4485</v>
      </c>
      <c r="DM52" s="6"/>
      <c r="DN52" s="43">
        <f>'$$xSchpostCouncil 22'!DN52/'$$xSchpostCouncil 22'!DN$123</f>
        <v>0</v>
      </c>
      <c r="DO52" s="6"/>
      <c r="DP52" s="6">
        <v>44525</v>
      </c>
      <c r="DU52" s="6">
        <f>VLOOKUP($A52,[3]Totals!$B$2:$K$119,10,FALSE)</f>
        <v>154739.41</v>
      </c>
      <c r="DV52" s="6">
        <f>VLOOKUP($A52,[3]Totals!$B$2:$K$119,9,FALSE)</f>
        <v>0</v>
      </c>
    </row>
    <row r="53" spans="1:126" x14ac:dyDescent="0.2">
      <c r="A53" s="3">
        <v>416</v>
      </c>
      <c r="B53" s="2" t="s">
        <v>76</v>
      </c>
      <c r="C53" t="s">
        <v>19</v>
      </c>
      <c r="D53">
        <v>8</v>
      </c>
      <c r="E53" s="1">
        <v>371</v>
      </c>
      <c r="F53" s="4">
        <v>0.79500000000000004</v>
      </c>
      <c r="G53">
        <v>295</v>
      </c>
      <c r="H53" s="43">
        <f>'$$xSchpostCouncil 22'!H53/'$$xSchpostCouncil 22'!H$123</f>
        <v>1</v>
      </c>
      <c r="I53" s="43">
        <f>'$$xSchpostCouncil 22'!I53/'$$xSchpostCouncil 22'!I$123</f>
        <v>1</v>
      </c>
      <c r="J53" s="43">
        <f>'$$xSchpostCouncil 22'!J53/'$$xSchpostCouncil 22'!J$123</f>
        <v>0</v>
      </c>
      <c r="K53" s="43">
        <f>'$$xSchpostCouncil 22'!K53/'$$xSchpostCouncil 22'!K$123</f>
        <v>1</v>
      </c>
      <c r="L53" s="6">
        <v>6695</v>
      </c>
      <c r="M53" s="43">
        <f>'$$xSchpostCouncil 22'!M53/'$$xSchpostCouncil 22'!M$123</f>
        <v>1</v>
      </c>
      <c r="N53" s="43">
        <f>'$$xSchpostCouncil 22'!N53/'$$xSchpostCouncil 22'!N$123</f>
        <v>1</v>
      </c>
      <c r="O53" s="43">
        <f>'$$xSchpostCouncil 22'!O53/'$$xSchpostCouncil 22'!O$123</f>
        <v>4</v>
      </c>
      <c r="P53" s="43">
        <f>'$$xSchpostCouncil 22'!P53/'$$xSchpostCouncil 22'!P$123</f>
        <v>1</v>
      </c>
      <c r="Q53" s="43">
        <f>'$$xSchpostCouncil 22'!Q53/'$$xSchpostCouncil 22'!Q$123</f>
        <v>0</v>
      </c>
      <c r="R53" s="43">
        <f>'$$xSchpostCouncil 22'!R53/'$$xSchpostCouncil 22'!R$123</f>
        <v>0</v>
      </c>
      <c r="S53" s="43">
        <f>'$$xSchpostCouncil 22'!S53/'$$xSchpostCouncil 22'!S$123</f>
        <v>0</v>
      </c>
      <c r="T53" s="43">
        <f>'$$xSchpostCouncil 22'!T53/'$$xSchpostCouncil 22'!T$123</f>
        <v>0</v>
      </c>
      <c r="U53" s="6"/>
      <c r="V53" s="6"/>
      <c r="W53" s="6"/>
      <c r="X53" s="6"/>
      <c r="Y53" s="43">
        <f>'$$xSchpostCouncil 22'!Y53/'$$xSchpostCouncil 22'!Y$123</f>
        <v>0</v>
      </c>
      <c r="Z53" s="43">
        <f>'$$xSchpostCouncil 22'!Z53/'$$xSchpostCouncil 22'!Z$123</f>
        <v>0</v>
      </c>
      <c r="AA53" s="43">
        <f>'$$xSchpostCouncil 22'!AA53/'$$xSchpostCouncil 22'!AA$123</f>
        <v>0</v>
      </c>
      <c r="AB53" s="43">
        <f>'$$xSchpostCouncil 22'!AB53/'$$xSchpostCouncil 22'!AB$123</f>
        <v>0</v>
      </c>
      <c r="AC53" s="6"/>
      <c r="AD53" s="6">
        <v>149561</v>
      </c>
      <c r="AE53" s="43">
        <f>'$$xSchpostCouncil 22'!AE53/'$$xSchpostCouncil 22'!AE$123</f>
        <v>1</v>
      </c>
      <c r="AF53" s="43">
        <f>'$$xSchpostCouncil 22'!AF53/'$$xSchpostCouncil 22'!AF$123</f>
        <v>2</v>
      </c>
      <c r="AG53" s="43">
        <f>'$$xSchpostCouncil 22'!AG53/'$$xSchpostCouncil 22'!AG$123</f>
        <v>10</v>
      </c>
      <c r="AH53" s="43">
        <f>'$$xSchpostCouncil 22'!AH53/'$$xSchpostCouncil 22'!AH$123</f>
        <v>0</v>
      </c>
      <c r="AI53" s="43">
        <f>'$$xSchpostCouncil 22'!AI53/'$$xSchpostCouncil 22'!AI$123</f>
        <v>6</v>
      </c>
      <c r="AJ53" s="43"/>
      <c r="AK53" s="43">
        <f>'$$xSchpostCouncil 22'!AK53/'$$xSchpostCouncil 22'!AK$123</f>
        <v>0</v>
      </c>
      <c r="AL53" s="43">
        <f>'$$xSchpostCouncil 22'!AL53/'$$xSchpostCouncil 22'!AL$123</f>
        <v>0</v>
      </c>
      <c r="AM53" s="6"/>
      <c r="AN53" s="6"/>
      <c r="AO53" s="43">
        <f>'$$xSchpostCouncil 22'!AO53/'$$xSchpostCouncil 22'!AO$123</f>
        <v>0</v>
      </c>
      <c r="AP53" s="43">
        <f>'$$xSchpostCouncil 22'!AP53/'$$xSchpostCouncil 22'!AP$123</f>
        <v>8.9998134477520447E-2</v>
      </c>
      <c r="AQ53" s="43">
        <f>'$$xSchpostCouncil 22'!AQ53/'$$xSchpostCouncil 22'!AQ$123</f>
        <v>0</v>
      </c>
      <c r="AR53" s="6"/>
      <c r="AS53" s="6"/>
      <c r="AT53" s="6"/>
      <c r="AU53" s="6"/>
      <c r="AV53" s="6"/>
      <c r="AW53" s="6">
        <v>0</v>
      </c>
      <c r="AX53" s="6"/>
      <c r="AY53" s="6"/>
      <c r="AZ53" s="6">
        <v>168223.74</v>
      </c>
      <c r="BA53" s="6"/>
      <c r="BB53" s="6"/>
      <c r="BC53" s="43">
        <f>'$$xSchpostCouncil 22'!BC53/'$$xSchpostCouncil 22'!BC$123</f>
        <v>0</v>
      </c>
      <c r="BD53" s="43">
        <f>'$$xSchpostCouncil 22'!BD53/'$$xSchpostCouncil 22'!BD$123</f>
        <v>0</v>
      </c>
      <c r="BE53" s="6"/>
      <c r="BF53" s="6"/>
      <c r="BG53" s="6"/>
      <c r="BH53" s="43">
        <f>'$$xSchpostCouncil 22'!BH53/'$$xSchpostCouncil 22'!BH$123</f>
        <v>0</v>
      </c>
      <c r="BI53" s="6"/>
      <c r="BJ53" s="43">
        <f>'$$xSchpostCouncil 22'!BJ53/'$$xSchpostCouncil 22'!BJ$123</f>
        <v>0</v>
      </c>
      <c r="BK53" s="6"/>
      <c r="BL53" s="43">
        <f>'$$xSchpostCouncil 22'!BL53/'$$xSchpostCouncil 22'!BL$123</f>
        <v>0</v>
      </c>
      <c r="BM53" s="6"/>
      <c r="BN53" s="43">
        <f>'$$xSchpostCouncil 22'!BN53/'$$xSchpostCouncil 22'!BN$123</f>
        <v>0</v>
      </c>
      <c r="BO53" s="43">
        <f>'$$xSchpostCouncil 22'!BO53/'$$xSchpostCouncil 22'!BO$123</f>
        <v>0</v>
      </c>
      <c r="BP53" s="6"/>
      <c r="BQ53" s="6"/>
      <c r="BR53" s="6"/>
      <c r="BS53" s="6"/>
      <c r="BT53" s="6"/>
      <c r="BU53" s="43">
        <f>'$$xSchpostCouncil 22'!BU53/'$$xSchpostCouncil 22'!BU$123</f>
        <v>0</v>
      </c>
      <c r="BV53" s="43">
        <f>'$$xSchpostCouncil 22'!BV53/'$$xSchpostCouncil 22'!BV$123</f>
        <v>0</v>
      </c>
      <c r="BW53" s="43">
        <f>'$$xSchpostCouncil 22'!BW53/'$$xSchpostCouncil 22'!BW$123</f>
        <v>0</v>
      </c>
      <c r="BX53" s="6">
        <v>746798</v>
      </c>
      <c r="BY53" s="6"/>
      <c r="BZ53" s="6"/>
      <c r="CA53" s="6"/>
      <c r="CB53" s="6"/>
      <c r="CC53" s="6"/>
      <c r="CD53" s="6"/>
      <c r="CE53" s="6"/>
      <c r="CF53" s="6">
        <v>112569</v>
      </c>
      <c r="CI53" s="43">
        <f>'$$xSchpostCouncil 22'!CI53/'$$xSchpostCouncil 22'!CI$123</f>
        <v>1</v>
      </c>
      <c r="CJ53" s="43">
        <f>'$$xSchpostCouncil 22'!CJ53/'$$xSchpostCouncil 22'!CJ$123</f>
        <v>1.2000012777185058</v>
      </c>
      <c r="CK53" s="43">
        <f>'$$xSchpostCouncil 22'!CK53/'$$xSchpostCouncil 22'!CK$123</f>
        <v>1</v>
      </c>
      <c r="CL53" s="43">
        <f>'$$xSchpostCouncil 22'!CL53/'$$xSchpostCouncil 22'!CL$123</f>
        <v>0</v>
      </c>
      <c r="CM53" s="43">
        <f>'$$xSchpostCouncil 22'!CM53/'$$xSchpostCouncil 22'!CM$123</f>
        <v>0</v>
      </c>
      <c r="CN53" s="43">
        <f>'$$xSchpostCouncil 22'!CN53/'$$xSchpostCouncil 22'!CN$123</f>
        <v>1</v>
      </c>
      <c r="CO53" s="43">
        <f>'$$xSchpostCouncil 22'!CO53/'$$xSchpostCouncil 22'!CO$123</f>
        <v>0</v>
      </c>
      <c r="CP53" s="43">
        <f>'$$xSchpostCouncil 22'!CP53/'$$xSchpostCouncil 22'!CP$123</f>
        <v>0</v>
      </c>
      <c r="CQ53" s="43">
        <f>'$$xSchpostCouncil 22'!CQ53/'$$xSchpostCouncil 22'!CQ$123</f>
        <v>16.799998223311924</v>
      </c>
      <c r="CR53" s="43">
        <f>'$$xSchpostCouncil 22'!CR53/'$$xSchpostCouncil 22'!CR$123</f>
        <v>3</v>
      </c>
      <c r="CS53" s="6">
        <v>23000</v>
      </c>
      <c r="CT53" s="6">
        <v>5000</v>
      </c>
      <c r="CU53" s="6">
        <v>100000</v>
      </c>
      <c r="CV53" s="43">
        <f>'$$xSchpostCouncil 22'!CV53/'$$xSchpostCouncil 22'!CV$123</f>
        <v>0</v>
      </c>
      <c r="CW53" s="43">
        <f>'$$xSchpostCouncil 22'!CW53/'$$xSchpostCouncil 22'!CW$123</f>
        <v>1</v>
      </c>
      <c r="CX53" s="6">
        <v>0</v>
      </c>
      <c r="CY53" s="6"/>
      <c r="CZ53" s="6"/>
      <c r="DB53" s="43">
        <f>'$$xSchpostCouncil 22'!DB53/'$$xSchpostCouncil 22'!DB$123</f>
        <v>0</v>
      </c>
      <c r="DC53" s="43">
        <f>'$$xSchpostCouncil 22'!DC53/'$$xSchpostCouncil 22'!DC$123</f>
        <v>0</v>
      </c>
      <c r="DF53" s="43">
        <f>'$$xSchpostCouncil 22'!DF53/'$$xSchpostCouncil 22'!DF$123</f>
        <v>0</v>
      </c>
      <c r="DG53" s="43">
        <f>'$$xSchpostCouncil 22'!DG53/'$$xSchpostCouncil 22'!DG$123</f>
        <v>0</v>
      </c>
      <c r="DH53" s="43">
        <f>'$$xSchpostCouncil 22'!DH53/'$$xSchpostCouncil 22'!DH$123</f>
        <v>0</v>
      </c>
      <c r="DI53" s="43">
        <f>'$$xSchpostCouncil 22'!DI53/'$$xSchpostCouncil 22'!DI$123</f>
        <v>1</v>
      </c>
      <c r="DJ53" s="43">
        <f>'$$xSchpostCouncil 22'!DJ53/'$$xSchpostCouncil 22'!DJ$123</f>
        <v>0</v>
      </c>
      <c r="DK53" s="43">
        <f>'$$xSchpostCouncil 22'!DK53/'$$xSchpostCouncil 22'!DK$123</f>
        <v>0</v>
      </c>
      <c r="DL53" s="6">
        <v>11844</v>
      </c>
      <c r="DM53" s="6"/>
      <c r="DN53" s="43">
        <f>'$$xSchpostCouncil 22'!DN53/'$$xSchpostCouncil 22'!DN$123</f>
        <v>0</v>
      </c>
      <c r="DO53" s="6"/>
      <c r="DP53" s="6">
        <v>53250</v>
      </c>
      <c r="DU53" s="6">
        <f>VLOOKUP($A53,[3]Totals!$B$2:$K$119,10,FALSE)</f>
        <v>189061.03</v>
      </c>
      <c r="DV53" s="6">
        <f>VLOOKUP($A53,[3]Totals!$B$2:$K$119,9,FALSE)</f>
        <v>110030</v>
      </c>
    </row>
    <row r="54" spans="1:126" x14ac:dyDescent="0.2">
      <c r="A54" s="3">
        <v>421</v>
      </c>
      <c r="B54" s="2" t="s">
        <v>75</v>
      </c>
      <c r="C54" t="s">
        <v>19</v>
      </c>
      <c r="D54">
        <v>7</v>
      </c>
      <c r="E54" s="1">
        <v>450</v>
      </c>
      <c r="F54" s="4">
        <v>0.69799999999999995</v>
      </c>
      <c r="G54">
        <v>314</v>
      </c>
      <c r="H54" s="43">
        <f>'$$xSchpostCouncil 22'!H54/'$$xSchpostCouncil 22'!H$123</f>
        <v>1</v>
      </c>
      <c r="I54" s="43">
        <f>'$$xSchpostCouncil 22'!I54/'$$xSchpostCouncil 22'!I$123</f>
        <v>1.100000888344038</v>
      </c>
      <c r="J54" s="43">
        <f>'$$xSchpostCouncil 22'!J54/'$$xSchpostCouncil 22'!J$123</f>
        <v>0</v>
      </c>
      <c r="K54" s="43">
        <f>'$$xSchpostCouncil 22'!K54/'$$xSchpostCouncil 22'!K$123</f>
        <v>1</v>
      </c>
      <c r="L54" s="6">
        <v>6050</v>
      </c>
      <c r="M54" s="43">
        <f>'$$xSchpostCouncil 22'!M54/'$$xSchpostCouncil 22'!M$123</f>
        <v>1</v>
      </c>
      <c r="N54" s="43">
        <f>'$$xSchpostCouncil 22'!N54/'$$xSchpostCouncil 22'!N$123</f>
        <v>1</v>
      </c>
      <c r="O54" s="43">
        <f>'$$xSchpostCouncil 22'!O54/'$$xSchpostCouncil 22'!O$123</f>
        <v>3</v>
      </c>
      <c r="P54" s="43">
        <f>'$$xSchpostCouncil 22'!P54/'$$xSchpostCouncil 22'!P$123</f>
        <v>1</v>
      </c>
      <c r="Q54" s="43">
        <f>'$$xSchpostCouncil 22'!Q54/'$$xSchpostCouncil 22'!Q$123</f>
        <v>0</v>
      </c>
      <c r="R54" s="43">
        <f>'$$xSchpostCouncil 22'!R54/'$$xSchpostCouncil 22'!R$123</f>
        <v>0</v>
      </c>
      <c r="S54" s="43">
        <f>'$$xSchpostCouncil 22'!S54/'$$xSchpostCouncil 22'!S$123</f>
        <v>0</v>
      </c>
      <c r="T54" s="43">
        <f>'$$xSchpostCouncil 22'!T54/'$$xSchpostCouncil 22'!T$123</f>
        <v>0</v>
      </c>
      <c r="U54" s="6"/>
      <c r="V54" s="6"/>
      <c r="W54" s="6"/>
      <c r="X54" s="6"/>
      <c r="Y54" s="43">
        <f>'$$xSchpostCouncil 22'!Y54/'$$xSchpostCouncil 22'!Y$123</f>
        <v>0</v>
      </c>
      <c r="Z54" s="43">
        <f>'$$xSchpostCouncil 22'!Z54/'$$xSchpostCouncil 22'!Z$123</f>
        <v>0</v>
      </c>
      <c r="AA54" s="43">
        <f>'$$xSchpostCouncil 22'!AA54/'$$xSchpostCouncil 22'!AA$123</f>
        <v>0</v>
      </c>
      <c r="AB54" s="43">
        <f>'$$xSchpostCouncil 22'!AB54/'$$xSchpostCouncil 22'!AB$123</f>
        <v>0</v>
      </c>
      <c r="AC54" s="6"/>
      <c r="AD54" s="6">
        <v>177449</v>
      </c>
      <c r="AE54" s="43">
        <f>'$$xSchpostCouncil 22'!AE54/'$$xSchpostCouncil 22'!AE$123</f>
        <v>1</v>
      </c>
      <c r="AF54" s="43">
        <f>'$$xSchpostCouncil 22'!AF54/'$$xSchpostCouncil 22'!AF$123</f>
        <v>4</v>
      </c>
      <c r="AG54" s="43">
        <f>'$$xSchpostCouncil 22'!AG54/'$$xSchpostCouncil 22'!AG$123</f>
        <v>11</v>
      </c>
      <c r="AH54" s="43">
        <f>'$$xSchpostCouncil 22'!AH54/'$$xSchpostCouncil 22'!AH$123</f>
        <v>0</v>
      </c>
      <c r="AI54" s="43">
        <f>'$$xSchpostCouncil 22'!AI54/'$$xSchpostCouncil 22'!AI$123</f>
        <v>4</v>
      </c>
      <c r="AJ54" s="43"/>
      <c r="AK54" s="43">
        <f>'$$xSchpostCouncil 22'!AK54/'$$xSchpostCouncil 22'!AK$123</f>
        <v>2</v>
      </c>
      <c r="AL54" s="43">
        <f>'$$xSchpostCouncil 22'!AL54/'$$xSchpostCouncil 22'!AL$123</f>
        <v>0</v>
      </c>
      <c r="AM54" s="6"/>
      <c r="AN54" s="6"/>
      <c r="AO54" s="43">
        <f>'$$xSchpostCouncil 22'!AO54/'$$xSchpostCouncil 22'!AO$123</f>
        <v>1</v>
      </c>
      <c r="AP54" s="43">
        <f>'$$xSchpostCouncil 22'!AP54/'$$xSchpostCouncil 22'!AP$123</f>
        <v>0</v>
      </c>
      <c r="AQ54" s="43">
        <f>'$$xSchpostCouncil 22'!AQ54/'$$xSchpostCouncil 22'!AQ$123</f>
        <v>0</v>
      </c>
      <c r="AR54" s="6"/>
      <c r="AS54" s="6"/>
      <c r="AT54" s="6"/>
      <c r="AU54" s="6"/>
      <c r="AV54" s="6"/>
      <c r="AW54" s="6">
        <v>0</v>
      </c>
      <c r="AX54" s="6"/>
      <c r="AY54" s="6"/>
      <c r="AZ54" s="6">
        <v>204045</v>
      </c>
      <c r="BA54" s="6"/>
      <c r="BB54" s="6"/>
      <c r="BC54" s="43">
        <f>'$$xSchpostCouncil 22'!BC54/'$$xSchpostCouncil 22'!BC$123</f>
        <v>0</v>
      </c>
      <c r="BD54" s="43">
        <f>'$$xSchpostCouncil 22'!BD54/'$$xSchpostCouncil 22'!BD$123</f>
        <v>0</v>
      </c>
      <c r="BE54" s="6"/>
      <c r="BF54" s="6"/>
      <c r="BG54" s="6"/>
      <c r="BH54" s="43">
        <f>'$$xSchpostCouncil 22'!BH54/'$$xSchpostCouncil 22'!BH$123</f>
        <v>0</v>
      </c>
      <c r="BI54" s="6"/>
      <c r="BJ54" s="43">
        <f>'$$xSchpostCouncil 22'!BJ54/'$$xSchpostCouncil 22'!BJ$123</f>
        <v>0</v>
      </c>
      <c r="BK54" s="6"/>
      <c r="BL54" s="43">
        <f>'$$xSchpostCouncil 22'!BL54/'$$xSchpostCouncil 22'!BL$123</f>
        <v>0</v>
      </c>
      <c r="BM54" s="6"/>
      <c r="BN54" s="43">
        <f>'$$xSchpostCouncil 22'!BN54/'$$xSchpostCouncil 22'!BN$123</f>
        <v>0</v>
      </c>
      <c r="BO54" s="43">
        <f>'$$xSchpostCouncil 22'!BO54/'$$xSchpostCouncil 22'!BO$123</f>
        <v>0</v>
      </c>
      <c r="BP54" s="6"/>
      <c r="BQ54" s="6"/>
      <c r="BR54" s="6"/>
      <c r="BS54" s="6"/>
      <c r="BT54" s="6"/>
      <c r="BU54" s="43">
        <f>'$$xSchpostCouncil 22'!BU54/'$$xSchpostCouncil 22'!BU$123</f>
        <v>0</v>
      </c>
      <c r="BV54" s="43">
        <f>'$$xSchpostCouncil 22'!BV54/'$$xSchpostCouncil 22'!BV$123</f>
        <v>0</v>
      </c>
      <c r="BW54" s="43">
        <f>'$$xSchpostCouncil 22'!BW54/'$$xSchpostCouncil 22'!BW$123</f>
        <v>0</v>
      </c>
      <c r="BX54" s="6">
        <v>794897</v>
      </c>
      <c r="BY54" s="6"/>
      <c r="BZ54" s="6"/>
      <c r="CA54" s="6"/>
      <c r="CB54" s="6"/>
      <c r="CC54" s="6">
        <v>306016</v>
      </c>
      <c r="CD54" s="6"/>
      <c r="CE54" s="6">
        <v>112569</v>
      </c>
      <c r="CF54" s="6">
        <v>0</v>
      </c>
      <c r="CI54" s="43">
        <f>'$$xSchpostCouncil 22'!CI54/'$$xSchpostCouncil 22'!CI$123</f>
        <v>1</v>
      </c>
      <c r="CJ54" s="43">
        <f>'$$xSchpostCouncil 22'!CJ54/'$$xSchpostCouncil 22'!CJ$123</f>
        <v>1.5000031942962646</v>
      </c>
      <c r="CK54" s="43">
        <f>'$$xSchpostCouncil 22'!CK54/'$$xSchpostCouncil 22'!CK$123</f>
        <v>1</v>
      </c>
      <c r="CL54" s="43">
        <f>'$$xSchpostCouncil 22'!CL54/'$$xSchpostCouncil 22'!CL$123</f>
        <v>1.1000019747625347</v>
      </c>
      <c r="CM54" s="43">
        <f>'$$xSchpostCouncil 22'!CM54/'$$xSchpostCouncil 22'!CM$123</f>
        <v>0</v>
      </c>
      <c r="CN54" s="43">
        <f>'$$xSchpostCouncil 22'!CN54/'$$xSchpostCouncil 22'!CN$123</f>
        <v>1</v>
      </c>
      <c r="CO54" s="43">
        <f>'$$xSchpostCouncil 22'!CO54/'$$xSchpostCouncil 22'!CO$123</f>
        <v>0</v>
      </c>
      <c r="CP54" s="43">
        <f>'$$xSchpostCouncil 22'!CP54/'$$xSchpostCouncil 22'!CP$123</f>
        <v>0</v>
      </c>
      <c r="CQ54" s="43">
        <f>'$$xSchpostCouncil 22'!CQ54/'$$xSchpostCouncil 22'!CQ$123</f>
        <v>20.400003553376152</v>
      </c>
      <c r="CR54" s="43">
        <f>'$$xSchpostCouncil 22'!CR54/'$$xSchpostCouncil 22'!CR$123</f>
        <v>3</v>
      </c>
      <c r="CS54" s="6">
        <v>23000</v>
      </c>
      <c r="CT54" s="6"/>
      <c r="CU54" s="6">
        <v>100000</v>
      </c>
      <c r="CV54" s="43">
        <f>'$$xSchpostCouncil 22'!CV54/'$$xSchpostCouncil 22'!CV$123</f>
        <v>0</v>
      </c>
      <c r="CW54" s="43">
        <f>'$$xSchpostCouncil 22'!CW54/'$$xSchpostCouncil 22'!CW$123</f>
        <v>1</v>
      </c>
      <c r="CX54" s="6">
        <v>0</v>
      </c>
      <c r="CY54" s="6"/>
      <c r="CZ54" s="6"/>
      <c r="DB54" s="43">
        <f>'$$xSchpostCouncil 22'!DB54/'$$xSchpostCouncil 22'!DB$123</f>
        <v>0</v>
      </c>
      <c r="DC54" s="43">
        <f>'$$xSchpostCouncil 22'!DC54/'$$xSchpostCouncil 22'!DC$123</f>
        <v>0</v>
      </c>
      <c r="DF54" s="43">
        <f>'$$xSchpostCouncil 22'!DF54/'$$xSchpostCouncil 22'!DF$123</f>
        <v>0</v>
      </c>
      <c r="DG54" s="43">
        <f>'$$xSchpostCouncil 22'!DG54/'$$xSchpostCouncil 22'!DG$123</f>
        <v>0</v>
      </c>
      <c r="DH54" s="43">
        <f>'$$xSchpostCouncil 22'!DH54/'$$xSchpostCouncil 22'!DH$123</f>
        <v>0</v>
      </c>
      <c r="DI54" s="43">
        <f>'$$xSchpostCouncil 22'!DI54/'$$xSchpostCouncil 22'!DI$123</f>
        <v>1</v>
      </c>
      <c r="DJ54" s="43">
        <f>'$$xSchpostCouncil 22'!DJ54/'$$xSchpostCouncil 22'!DJ$123</f>
        <v>0</v>
      </c>
      <c r="DK54" s="43">
        <f>'$$xSchpostCouncil 22'!DK54/'$$xSchpostCouncil 22'!DK$123</f>
        <v>0</v>
      </c>
      <c r="DL54" s="6">
        <v>6279</v>
      </c>
      <c r="DM54" s="6"/>
      <c r="DN54" s="43">
        <f>'$$xSchpostCouncil 22'!DN54/'$$xSchpostCouncil 22'!DN$123</f>
        <v>0</v>
      </c>
      <c r="DO54" s="6"/>
      <c r="DP54" s="6">
        <v>94500</v>
      </c>
      <c r="DU54" s="6">
        <f>VLOOKUP($A54,[3]Totals!$B$2:$K$119,10,FALSE)</f>
        <v>218434.22</v>
      </c>
      <c r="DV54" s="6">
        <f>VLOOKUP($A54,[3]Totals!$B$2:$K$119,9,FALSE)</f>
        <v>225138</v>
      </c>
    </row>
    <row r="55" spans="1:126" x14ac:dyDescent="0.2">
      <c r="A55" s="3">
        <v>257</v>
      </c>
      <c r="B55" s="2" t="s">
        <v>74</v>
      </c>
      <c r="C55" t="s">
        <v>7</v>
      </c>
      <c r="D55">
        <v>8</v>
      </c>
      <c r="E55" s="1">
        <v>336</v>
      </c>
      <c r="F55" s="4">
        <v>0.78</v>
      </c>
      <c r="G55">
        <v>262</v>
      </c>
      <c r="H55" s="43">
        <f>'$$xSchpostCouncil 22'!H55/'$$xSchpostCouncil 22'!H$123</f>
        <v>1</v>
      </c>
      <c r="I55" s="43">
        <f>'$$xSchpostCouncil 22'!I55/'$$xSchpostCouncil 22'!I$123</f>
        <v>0</v>
      </c>
      <c r="J55" s="43">
        <f>'$$xSchpostCouncil 22'!J55/'$$xSchpostCouncil 22'!J$123</f>
        <v>0</v>
      </c>
      <c r="K55" s="43">
        <f>'$$xSchpostCouncil 22'!K55/'$$xSchpostCouncil 22'!K$123</f>
        <v>1</v>
      </c>
      <c r="L55" s="6">
        <v>7020</v>
      </c>
      <c r="M55" s="43">
        <f>'$$xSchpostCouncil 22'!M55/'$$xSchpostCouncil 22'!M$123</f>
        <v>1</v>
      </c>
      <c r="N55" s="43">
        <f>'$$xSchpostCouncil 22'!N55/'$$xSchpostCouncil 22'!N$123</f>
        <v>1</v>
      </c>
      <c r="O55" s="43">
        <f>'$$xSchpostCouncil 22'!O55/'$$xSchpostCouncil 22'!O$123</f>
        <v>2</v>
      </c>
      <c r="P55" s="43">
        <f>'$$xSchpostCouncil 22'!P55/'$$xSchpostCouncil 22'!P$123</f>
        <v>1</v>
      </c>
      <c r="Q55" s="43">
        <f>'$$xSchpostCouncil 22'!Q55/'$$xSchpostCouncil 22'!Q$123</f>
        <v>1</v>
      </c>
      <c r="R55" s="43">
        <f>'$$xSchpostCouncil 22'!R55/'$$xSchpostCouncil 22'!R$123</f>
        <v>2</v>
      </c>
      <c r="S55" s="43">
        <f>'$$xSchpostCouncil 22'!S55/'$$xSchpostCouncil 22'!S$123</f>
        <v>2</v>
      </c>
      <c r="T55" s="43">
        <f>'$$xSchpostCouncil 22'!T55/'$$xSchpostCouncil 22'!T$123</f>
        <v>5</v>
      </c>
      <c r="U55" s="6"/>
      <c r="V55" s="6"/>
      <c r="W55" s="6"/>
      <c r="X55" s="6"/>
      <c r="Y55" s="43">
        <f>'$$xSchpostCouncil 22'!Y55/'$$xSchpostCouncil 22'!Y$123</f>
        <v>0</v>
      </c>
      <c r="Z55" s="43">
        <f>'$$xSchpostCouncil 22'!Z55/'$$xSchpostCouncil 22'!Z$123</f>
        <v>0</v>
      </c>
      <c r="AA55" s="43">
        <f>'$$xSchpostCouncil 22'!AA55/'$$xSchpostCouncil 22'!AA$123</f>
        <v>0</v>
      </c>
      <c r="AB55" s="43">
        <f>'$$xSchpostCouncil 22'!AB55/'$$xSchpostCouncil 22'!AB$123</f>
        <v>0</v>
      </c>
      <c r="AC55" s="6"/>
      <c r="AD55" s="6">
        <v>121694</v>
      </c>
      <c r="AE55" s="43">
        <f>'$$xSchpostCouncil 22'!AE55/'$$xSchpostCouncil 22'!AE$123</f>
        <v>1</v>
      </c>
      <c r="AF55" s="43">
        <f>'$$xSchpostCouncil 22'!AF55/'$$xSchpostCouncil 22'!AF$123</f>
        <v>1</v>
      </c>
      <c r="AG55" s="43">
        <f>'$$xSchpostCouncil 22'!AG55/'$$xSchpostCouncil 22'!AG$123</f>
        <v>4</v>
      </c>
      <c r="AH55" s="43">
        <f>'$$xSchpostCouncil 22'!AH55/'$$xSchpostCouncil 22'!AH$123</f>
        <v>0</v>
      </c>
      <c r="AI55" s="43">
        <f>'$$xSchpostCouncil 22'!AI55/'$$xSchpostCouncil 22'!AI$123</f>
        <v>0</v>
      </c>
      <c r="AJ55" s="43"/>
      <c r="AK55" s="43">
        <f>'$$xSchpostCouncil 22'!AK55/'$$xSchpostCouncil 22'!AK$123</f>
        <v>0</v>
      </c>
      <c r="AL55" s="43">
        <f>'$$xSchpostCouncil 22'!AL55/'$$xSchpostCouncil 22'!AL$123</f>
        <v>0</v>
      </c>
      <c r="AM55" s="6"/>
      <c r="AN55" s="6"/>
      <c r="AO55" s="43">
        <f>'$$xSchpostCouncil 22'!AO55/'$$xSchpostCouncil 22'!AO$123</f>
        <v>0</v>
      </c>
      <c r="AP55" s="43">
        <f>'$$xSchpostCouncil 22'!AP55/'$$xSchpostCouncil 22'!AP$123</f>
        <v>0.36000142135046059</v>
      </c>
      <c r="AQ55" s="43">
        <f>'$$xSchpostCouncil 22'!AQ55/'$$xSchpostCouncil 22'!AQ$123</f>
        <v>0</v>
      </c>
      <c r="AR55" s="6"/>
      <c r="AS55" s="6">
        <f>27200-13600</f>
        <v>13600</v>
      </c>
      <c r="AT55" s="6">
        <f>27200-13600</f>
        <v>13600</v>
      </c>
      <c r="AU55" s="6">
        <v>10200</v>
      </c>
      <c r="AV55" s="6"/>
      <c r="AW55" s="6">
        <v>27200</v>
      </c>
      <c r="AX55" s="6"/>
      <c r="AY55" s="6"/>
      <c r="AZ55" s="6">
        <v>152353.60000000001</v>
      </c>
      <c r="BA55" s="6"/>
      <c r="BB55" s="6"/>
      <c r="BC55" s="43">
        <f>'$$xSchpostCouncil 22'!BC55/'$$xSchpostCouncil 22'!BC$123</f>
        <v>0</v>
      </c>
      <c r="BD55" s="43">
        <f>'$$xSchpostCouncil 22'!BD55/'$$xSchpostCouncil 22'!BD$123</f>
        <v>0</v>
      </c>
      <c r="BE55" s="6"/>
      <c r="BF55" s="6"/>
      <c r="BG55" s="6"/>
      <c r="BH55" s="43">
        <f>'$$xSchpostCouncil 22'!BH55/'$$xSchpostCouncil 22'!BH$123</f>
        <v>0</v>
      </c>
      <c r="BI55" s="6"/>
      <c r="BJ55" s="43">
        <f>'$$xSchpostCouncil 22'!BJ55/'$$xSchpostCouncil 22'!BJ$123</f>
        <v>0</v>
      </c>
      <c r="BK55" s="6"/>
      <c r="BL55" s="43">
        <f>'$$xSchpostCouncil 22'!BL55/'$$xSchpostCouncil 22'!BL$123</f>
        <v>0</v>
      </c>
      <c r="BM55" s="6"/>
      <c r="BN55" s="43">
        <f>'$$xSchpostCouncil 22'!BN55/'$$xSchpostCouncil 22'!BN$123</f>
        <v>0</v>
      </c>
      <c r="BO55" s="43">
        <f>'$$xSchpostCouncil 22'!BO55/'$$xSchpostCouncil 22'!BO$123</f>
        <v>0</v>
      </c>
      <c r="BP55" s="6"/>
      <c r="BQ55" s="6"/>
      <c r="BR55" s="6">
        <v>13859</v>
      </c>
      <c r="BS55" s="6"/>
      <c r="BT55" s="6"/>
      <c r="BU55" s="43">
        <f>'$$xSchpostCouncil 22'!BU55/'$$xSchpostCouncil 22'!BU$123</f>
        <v>0</v>
      </c>
      <c r="BV55" s="43">
        <f>'$$xSchpostCouncil 22'!BV55/'$$xSchpostCouncil 22'!BV$123</f>
        <v>0</v>
      </c>
      <c r="BW55" s="43">
        <f>'$$xSchpostCouncil 22'!BW55/'$$xSchpostCouncil 22'!BW$123</f>
        <v>0</v>
      </c>
      <c r="BX55" s="6">
        <v>663257.5</v>
      </c>
      <c r="BY55" s="6"/>
      <c r="BZ55" s="6"/>
      <c r="CA55" s="6"/>
      <c r="CB55" s="6"/>
      <c r="CC55" s="6"/>
      <c r="CD55" s="6"/>
      <c r="CE55" s="6"/>
      <c r="CF55" s="6">
        <v>112569</v>
      </c>
      <c r="CI55" s="43">
        <f>'$$xSchpostCouncil 22'!CI55/'$$xSchpostCouncil 22'!CI$123</f>
        <v>1</v>
      </c>
      <c r="CJ55" s="43">
        <f>'$$xSchpostCouncil 22'!CJ55/'$$xSchpostCouncil 22'!CJ$123</f>
        <v>0.79999872228149416</v>
      </c>
      <c r="CK55" s="43">
        <f>'$$xSchpostCouncil 22'!CK55/'$$xSchpostCouncil 22'!CK$123</f>
        <v>1</v>
      </c>
      <c r="CL55" s="43">
        <f>'$$xSchpostCouncil 22'!CL55/'$$xSchpostCouncil 22'!CL$123</f>
        <v>0</v>
      </c>
      <c r="CM55" s="43">
        <f>'$$xSchpostCouncil 22'!CM55/'$$xSchpostCouncil 22'!CM$123</f>
        <v>0</v>
      </c>
      <c r="CN55" s="43">
        <f>'$$xSchpostCouncil 22'!CN55/'$$xSchpostCouncil 22'!CN$123</f>
        <v>0</v>
      </c>
      <c r="CO55" s="43">
        <f>'$$xSchpostCouncil 22'!CO55/'$$xSchpostCouncil 22'!CO$123</f>
        <v>3</v>
      </c>
      <c r="CP55" s="43">
        <f>'$$xSchpostCouncil 22'!CP55/'$$xSchpostCouncil 22'!CP$123</f>
        <v>3</v>
      </c>
      <c r="CQ55" s="43">
        <f>'$$xSchpostCouncil 22'!CQ55/'$$xSchpostCouncil 22'!CQ$123</f>
        <v>14</v>
      </c>
      <c r="CR55" s="43">
        <f>'$$xSchpostCouncil 22'!CR55/'$$xSchpostCouncil 22'!CR$123</f>
        <v>0</v>
      </c>
      <c r="CS55" s="6"/>
      <c r="CT55" s="6"/>
      <c r="CU55" s="6"/>
      <c r="CV55" s="43">
        <f>'$$xSchpostCouncil 22'!CV55/'$$xSchpostCouncil 22'!CV$123</f>
        <v>0</v>
      </c>
      <c r="CW55" s="43">
        <f>'$$xSchpostCouncil 22'!CW55/'$$xSchpostCouncil 22'!CW$123</f>
        <v>0</v>
      </c>
      <c r="CX55" s="6">
        <v>0</v>
      </c>
      <c r="CY55" s="6"/>
      <c r="CZ55" s="6"/>
      <c r="DB55" s="43">
        <f>'$$xSchpostCouncil 22'!DB55/'$$xSchpostCouncil 22'!DB$123</f>
        <v>0</v>
      </c>
      <c r="DC55" s="43">
        <f>'$$xSchpostCouncil 22'!DC55/'$$xSchpostCouncil 22'!DC$123</f>
        <v>0</v>
      </c>
      <c r="DF55" s="43">
        <f>'$$xSchpostCouncil 22'!DF55/'$$xSchpostCouncil 22'!DF$123</f>
        <v>0</v>
      </c>
      <c r="DG55" s="43">
        <f>'$$xSchpostCouncil 22'!DG55/'$$xSchpostCouncil 22'!DG$123</f>
        <v>1.5000044417201894</v>
      </c>
      <c r="DH55" s="43">
        <f>'$$xSchpostCouncil 22'!DH55/'$$xSchpostCouncil 22'!DH$123</f>
        <v>0</v>
      </c>
      <c r="DI55" s="43">
        <f>'$$xSchpostCouncil 22'!DI55/'$$xSchpostCouncil 22'!DI$123</f>
        <v>0</v>
      </c>
      <c r="DJ55" s="43">
        <f>'$$xSchpostCouncil 22'!DJ55/'$$xSchpostCouncil 22'!DJ$123</f>
        <v>0</v>
      </c>
      <c r="DK55" s="43">
        <f>'$$xSchpostCouncil 22'!DK55/'$$xSchpostCouncil 22'!DK$123</f>
        <v>0</v>
      </c>
      <c r="DL55" s="6">
        <v>10526</v>
      </c>
      <c r="DM55" s="6"/>
      <c r="DN55" s="43">
        <f>'$$xSchpostCouncil 22'!DN55/'$$xSchpostCouncil 22'!DN$123</f>
        <v>0</v>
      </c>
      <c r="DO55" s="6"/>
      <c r="DP55" s="6">
        <v>14575</v>
      </c>
      <c r="DU55" s="6">
        <f>VLOOKUP($A55,[3]Totals!$B$2:$K$119,10,FALSE)</f>
        <v>246407.5</v>
      </c>
      <c r="DV55" s="6">
        <f>VLOOKUP($A55,[3]Totals!$B$2:$K$119,9,FALSE)</f>
        <v>341268</v>
      </c>
    </row>
    <row r="56" spans="1:126" x14ac:dyDescent="0.2">
      <c r="A56" s="3">
        <v>272</v>
      </c>
      <c r="B56" s="2" t="s">
        <v>73</v>
      </c>
      <c r="C56" t="s">
        <v>7</v>
      </c>
      <c r="D56">
        <v>3</v>
      </c>
      <c r="E56" s="1">
        <v>360</v>
      </c>
      <c r="F56" s="4">
        <v>1.7000000000000001E-2</v>
      </c>
      <c r="G56">
        <v>6</v>
      </c>
      <c r="H56" s="43">
        <f>'$$xSchpostCouncil 22'!H56/'$$xSchpostCouncil 22'!H$123</f>
        <v>1</v>
      </c>
      <c r="I56" s="43">
        <f>'$$xSchpostCouncil 22'!I56/'$$xSchpostCouncil 22'!I$123</f>
        <v>0</v>
      </c>
      <c r="J56" s="43">
        <f>'$$xSchpostCouncil 22'!J56/'$$xSchpostCouncil 22'!J$123</f>
        <v>0</v>
      </c>
      <c r="K56" s="43">
        <f>'$$xSchpostCouncil 22'!K56/'$$xSchpostCouncil 22'!K$123</f>
        <v>1</v>
      </c>
      <c r="L56" s="6">
        <v>4539</v>
      </c>
      <c r="M56" s="43">
        <f>'$$xSchpostCouncil 22'!M56/'$$xSchpostCouncil 22'!M$123</f>
        <v>1</v>
      </c>
      <c r="N56" s="43">
        <f>'$$xSchpostCouncil 22'!N56/'$$xSchpostCouncil 22'!N$123</f>
        <v>1</v>
      </c>
      <c r="O56" s="43">
        <f>'$$xSchpostCouncil 22'!O56/'$$xSchpostCouncil 22'!O$123</f>
        <v>2</v>
      </c>
      <c r="P56" s="43">
        <f>'$$xSchpostCouncil 22'!P56/'$$xSchpostCouncil 22'!P$123</f>
        <v>1</v>
      </c>
      <c r="Q56" s="43">
        <f>'$$xSchpostCouncil 22'!Q56/'$$xSchpostCouncil 22'!Q$123</f>
        <v>0</v>
      </c>
      <c r="R56" s="43">
        <f>'$$xSchpostCouncil 22'!R56/'$$xSchpostCouncil 22'!R$123</f>
        <v>0</v>
      </c>
      <c r="S56" s="43">
        <f>'$$xSchpostCouncil 22'!S56/'$$xSchpostCouncil 22'!S$123</f>
        <v>2</v>
      </c>
      <c r="T56" s="43">
        <f>'$$xSchpostCouncil 22'!T56/'$$xSchpostCouncil 22'!T$123</f>
        <v>2</v>
      </c>
      <c r="U56" s="6"/>
      <c r="V56" s="6"/>
      <c r="W56" s="6"/>
      <c r="X56" s="6"/>
      <c r="Y56" s="43">
        <f>'$$xSchpostCouncil 22'!Y56/'$$xSchpostCouncil 22'!Y$123</f>
        <v>0</v>
      </c>
      <c r="Z56" s="43">
        <f>'$$xSchpostCouncil 22'!Z56/'$$xSchpostCouncil 22'!Z$123</f>
        <v>0</v>
      </c>
      <c r="AA56" s="43">
        <f>'$$xSchpostCouncil 22'!AA56/'$$xSchpostCouncil 22'!AA$123</f>
        <v>0</v>
      </c>
      <c r="AB56" s="43">
        <f>'$$xSchpostCouncil 22'!AB56/'$$xSchpostCouncil 22'!AB$123</f>
        <v>0</v>
      </c>
      <c r="AC56" s="6"/>
      <c r="AD56" s="6">
        <v>120154</v>
      </c>
      <c r="AE56" s="43">
        <f>'$$xSchpostCouncil 22'!AE56/'$$xSchpostCouncil 22'!AE$123</f>
        <v>1</v>
      </c>
      <c r="AF56" s="43">
        <f>'$$xSchpostCouncil 22'!AF56/'$$xSchpostCouncil 22'!AF$123</f>
        <v>1</v>
      </c>
      <c r="AG56" s="43">
        <f>'$$xSchpostCouncil 22'!AG56/'$$xSchpostCouncil 22'!AG$123</f>
        <v>3</v>
      </c>
      <c r="AH56" s="43">
        <f>'$$xSchpostCouncil 22'!AH56/'$$xSchpostCouncil 22'!AH$123</f>
        <v>0</v>
      </c>
      <c r="AI56" s="43">
        <f>'$$xSchpostCouncil 22'!AI56/'$$xSchpostCouncil 22'!AI$123</f>
        <v>0</v>
      </c>
      <c r="AJ56" s="43"/>
      <c r="AK56" s="43">
        <f>'$$xSchpostCouncil 22'!AK56/'$$xSchpostCouncil 22'!AK$123</f>
        <v>0</v>
      </c>
      <c r="AL56" s="43">
        <f>'$$xSchpostCouncil 22'!AL56/'$$xSchpostCouncil 22'!AL$123</f>
        <v>0</v>
      </c>
      <c r="AM56" s="6"/>
      <c r="AN56" s="6"/>
      <c r="AO56" s="43">
        <f>'$$xSchpostCouncil 22'!AO56/'$$xSchpostCouncil 22'!AO$123</f>
        <v>1</v>
      </c>
      <c r="AP56" s="43">
        <f>'$$xSchpostCouncil 22'!AP56/'$$xSchpostCouncil 22'!AP$123</f>
        <v>0</v>
      </c>
      <c r="AQ56" s="43">
        <f>'$$xSchpostCouncil 22'!AQ56/'$$xSchpostCouncil 22'!AQ$123</f>
        <v>0</v>
      </c>
      <c r="AR56" s="6"/>
      <c r="AS56" s="6"/>
      <c r="AT56" s="6"/>
      <c r="AU56" s="6"/>
      <c r="AV56" s="6"/>
      <c r="AW56" s="6">
        <v>0</v>
      </c>
      <c r="AX56" s="6"/>
      <c r="AY56" s="6"/>
      <c r="AZ56" s="6">
        <v>0</v>
      </c>
      <c r="BA56" s="6"/>
      <c r="BB56" s="6">
        <v>9000</v>
      </c>
      <c r="BC56" s="43">
        <f>'$$xSchpostCouncil 22'!BC56/'$$xSchpostCouncil 22'!BC$123</f>
        <v>0</v>
      </c>
      <c r="BD56" s="43">
        <f>'$$xSchpostCouncil 22'!BD56/'$$xSchpostCouncil 22'!BD$123</f>
        <v>0</v>
      </c>
      <c r="BE56" s="6"/>
      <c r="BF56" s="6"/>
      <c r="BG56" s="6"/>
      <c r="BH56" s="43">
        <f>'$$xSchpostCouncil 22'!BH56/'$$xSchpostCouncil 22'!BH$123</f>
        <v>0</v>
      </c>
      <c r="BI56" s="6"/>
      <c r="BJ56" s="43">
        <f>'$$xSchpostCouncil 22'!BJ56/'$$xSchpostCouncil 22'!BJ$123</f>
        <v>0</v>
      </c>
      <c r="BK56" s="6"/>
      <c r="BL56" s="43">
        <f>'$$xSchpostCouncil 22'!BL56/'$$xSchpostCouncil 22'!BL$123</f>
        <v>0</v>
      </c>
      <c r="BM56" s="6"/>
      <c r="BN56" s="43">
        <f>'$$xSchpostCouncil 22'!BN56/'$$xSchpostCouncil 22'!BN$123</f>
        <v>0</v>
      </c>
      <c r="BO56" s="43">
        <f>'$$xSchpostCouncil 22'!BO56/'$$xSchpostCouncil 22'!BO$123</f>
        <v>0</v>
      </c>
      <c r="BP56" s="6"/>
      <c r="BQ56" s="6"/>
      <c r="BR56" s="6"/>
      <c r="BS56" s="6"/>
      <c r="BT56" s="6"/>
      <c r="BU56" s="43">
        <f>'$$xSchpostCouncil 22'!BU56/'$$xSchpostCouncil 22'!BU$123</f>
        <v>0</v>
      </c>
      <c r="BV56" s="43">
        <f>'$$xSchpostCouncil 22'!BV56/'$$xSchpostCouncil 22'!BV$123</f>
        <v>0</v>
      </c>
      <c r="BW56" s="43">
        <f>'$$xSchpostCouncil 22'!BW56/'$$xSchpostCouncil 22'!BW$123</f>
        <v>0</v>
      </c>
      <c r="BX56" s="6">
        <v>15189</v>
      </c>
      <c r="BY56" s="6"/>
      <c r="BZ56" s="6"/>
      <c r="CA56" s="6"/>
      <c r="CB56" s="6"/>
      <c r="CC56" s="6"/>
      <c r="CD56" s="6"/>
      <c r="CE56" s="6"/>
      <c r="CF56" s="6">
        <v>0</v>
      </c>
      <c r="CI56" s="43">
        <f>'$$xSchpostCouncil 22'!CI56/'$$xSchpostCouncil 22'!CI$123</f>
        <v>1</v>
      </c>
      <c r="CJ56" s="43">
        <f>'$$xSchpostCouncil 22'!CJ56/'$$xSchpostCouncil 22'!CJ$123</f>
        <v>0.89999936114074708</v>
      </c>
      <c r="CK56" s="43">
        <f>'$$xSchpostCouncil 22'!CK56/'$$xSchpostCouncil 22'!CK$123</f>
        <v>1</v>
      </c>
      <c r="CL56" s="43">
        <f>'$$xSchpostCouncil 22'!CL56/'$$xSchpostCouncil 22'!CL$123</f>
        <v>0</v>
      </c>
      <c r="CM56" s="43">
        <f>'$$xSchpostCouncil 22'!CM56/'$$xSchpostCouncil 22'!CM$123</f>
        <v>0</v>
      </c>
      <c r="CN56" s="43">
        <f>'$$xSchpostCouncil 22'!CN56/'$$xSchpostCouncil 22'!CN$123</f>
        <v>0</v>
      </c>
      <c r="CO56" s="43">
        <f>'$$xSchpostCouncil 22'!CO56/'$$xSchpostCouncil 22'!CO$123</f>
        <v>3</v>
      </c>
      <c r="CP56" s="43">
        <f>'$$xSchpostCouncil 22'!CP56/'$$xSchpostCouncil 22'!CP$123</f>
        <v>3</v>
      </c>
      <c r="CQ56" s="43">
        <f>'$$xSchpostCouncil 22'!CQ56/'$$xSchpostCouncil 22'!CQ$123</f>
        <v>17</v>
      </c>
      <c r="CR56" s="43">
        <f>'$$xSchpostCouncil 22'!CR56/'$$xSchpostCouncil 22'!CR$123</f>
        <v>0</v>
      </c>
      <c r="CS56" s="6"/>
      <c r="CT56" s="6"/>
      <c r="CU56" s="6"/>
      <c r="CV56" s="43">
        <f>'$$xSchpostCouncil 22'!CV56/'$$xSchpostCouncil 22'!CV$123</f>
        <v>0</v>
      </c>
      <c r="CW56" s="43">
        <f>'$$xSchpostCouncil 22'!CW56/'$$xSchpostCouncil 22'!CW$123</f>
        <v>0</v>
      </c>
      <c r="CX56" s="6">
        <v>0</v>
      </c>
      <c r="CY56" s="6"/>
      <c r="CZ56" s="6"/>
      <c r="DB56" s="43">
        <f>'$$xSchpostCouncil 22'!DB56/'$$xSchpostCouncil 22'!DB$123</f>
        <v>0</v>
      </c>
      <c r="DC56" s="43">
        <f>'$$xSchpostCouncil 22'!DC56/'$$xSchpostCouncil 22'!DC$123</f>
        <v>0</v>
      </c>
      <c r="DF56" s="43">
        <f>'$$xSchpostCouncil 22'!DF56/'$$xSchpostCouncil 22'!DF$123</f>
        <v>0</v>
      </c>
      <c r="DG56" s="43">
        <f>'$$xSchpostCouncil 22'!DG56/'$$xSchpostCouncil 22'!DG$123</f>
        <v>0</v>
      </c>
      <c r="DH56" s="43">
        <f>'$$xSchpostCouncil 22'!DH56/'$$xSchpostCouncil 22'!DH$123</f>
        <v>0</v>
      </c>
      <c r="DI56" s="43">
        <f>'$$xSchpostCouncil 22'!DI56/'$$xSchpostCouncil 22'!DI$123</f>
        <v>0</v>
      </c>
      <c r="DJ56" s="43">
        <f>'$$xSchpostCouncil 22'!DJ56/'$$xSchpostCouncil 22'!DJ$123</f>
        <v>0</v>
      </c>
      <c r="DK56" s="43">
        <f>'$$xSchpostCouncil 22'!DK56/'$$xSchpostCouncil 22'!DK$123</f>
        <v>0</v>
      </c>
      <c r="DL56" s="6"/>
      <c r="DM56" s="6"/>
      <c r="DN56" s="43">
        <f>'$$xSchpostCouncil 22'!DN56/'$$xSchpostCouncil 22'!DN$123</f>
        <v>0</v>
      </c>
      <c r="DO56" s="6"/>
      <c r="DP56" s="6">
        <v>2625</v>
      </c>
      <c r="DU56" s="6">
        <f>VLOOKUP($A56,[3]Totals!$B$2:$K$119,10,FALSE)</f>
        <v>33780</v>
      </c>
      <c r="DV56" s="6">
        <f>VLOOKUP($A56,[3]Totals!$B$2:$K$119,9,FALSE)</f>
        <v>0</v>
      </c>
    </row>
    <row r="57" spans="1:126" x14ac:dyDescent="0.2">
      <c r="A57" s="3">
        <v>259</v>
      </c>
      <c r="B57" s="2" t="s">
        <v>72</v>
      </c>
      <c r="C57" t="s">
        <v>7</v>
      </c>
      <c r="D57">
        <v>7</v>
      </c>
      <c r="E57" s="1">
        <v>398</v>
      </c>
      <c r="F57" s="4">
        <v>0.72399999999999998</v>
      </c>
      <c r="G57">
        <v>288</v>
      </c>
      <c r="H57" s="43">
        <f>'$$xSchpostCouncil 22'!H57/'$$xSchpostCouncil 22'!H$123</f>
        <v>1</v>
      </c>
      <c r="I57" s="43">
        <f>'$$xSchpostCouncil 22'!I57/'$$xSchpostCouncil 22'!I$123</f>
        <v>0</v>
      </c>
      <c r="J57" s="43">
        <f>'$$xSchpostCouncil 22'!J57/'$$xSchpostCouncil 22'!J$123</f>
        <v>0</v>
      </c>
      <c r="K57" s="43">
        <f>'$$xSchpostCouncil 22'!K57/'$$xSchpostCouncil 22'!K$123</f>
        <v>1</v>
      </c>
      <c r="L57" s="6">
        <v>6144</v>
      </c>
      <c r="M57" s="43">
        <f>'$$xSchpostCouncil 22'!M57/'$$xSchpostCouncil 22'!M$123</f>
        <v>1</v>
      </c>
      <c r="N57" s="43">
        <f>'$$xSchpostCouncil 22'!N57/'$$xSchpostCouncil 22'!N$123</f>
        <v>1</v>
      </c>
      <c r="O57" s="43">
        <f>'$$xSchpostCouncil 22'!O57/'$$xSchpostCouncil 22'!O$123</f>
        <v>2</v>
      </c>
      <c r="P57" s="43">
        <f>'$$xSchpostCouncil 22'!P57/'$$xSchpostCouncil 22'!P$123</f>
        <v>1</v>
      </c>
      <c r="Q57" s="43">
        <f>'$$xSchpostCouncil 22'!Q57/'$$xSchpostCouncil 22'!Q$123</f>
        <v>2</v>
      </c>
      <c r="R57" s="43">
        <f>'$$xSchpostCouncil 22'!R57/'$$xSchpostCouncil 22'!R$123</f>
        <v>1</v>
      </c>
      <c r="S57" s="43">
        <f>'$$xSchpostCouncil 22'!S57/'$$xSchpostCouncil 22'!S$123</f>
        <v>2</v>
      </c>
      <c r="T57" s="43">
        <f>'$$xSchpostCouncil 22'!T57/'$$xSchpostCouncil 22'!T$123</f>
        <v>5</v>
      </c>
      <c r="U57" s="6"/>
      <c r="V57" s="6"/>
      <c r="W57" s="6"/>
      <c r="X57" s="6"/>
      <c r="Y57" s="43">
        <f>'$$xSchpostCouncil 22'!Y57/'$$xSchpostCouncil 22'!Y$123</f>
        <v>0</v>
      </c>
      <c r="Z57" s="43">
        <f>'$$xSchpostCouncil 22'!Z57/'$$xSchpostCouncil 22'!Z$123</f>
        <v>0</v>
      </c>
      <c r="AA57" s="43">
        <f>'$$xSchpostCouncil 22'!AA57/'$$xSchpostCouncil 22'!AA$123</f>
        <v>0</v>
      </c>
      <c r="AB57" s="43">
        <f>'$$xSchpostCouncil 22'!AB57/'$$xSchpostCouncil 22'!AB$123</f>
        <v>0</v>
      </c>
      <c r="AC57" s="6"/>
      <c r="AD57" s="6">
        <v>134488</v>
      </c>
      <c r="AE57" s="43">
        <f>'$$xSchpostCouncil 22'!AE57/'$$xSchpostCouncil 22'!AE$123</f>
        <v>1</v>
      </c>
      <c r="AF57" s="43">
        <f>'$$xSchpostCouncil 22'!AF57/'$$xSchpostCouncil 22'!AF$123</f>
        <v>2</v>
      </c>
      <c r="AG57" s="43">
        <f>'$$xSchpostCouncil 22'!AG57/'$$xSchpostCouncil 22'!AG$123</f>
        <v>4</v>
      </c>
      <c r="AH57" s="43">
        <f>'$$xSchpostCouncil 22'!AH57/'$$xSchpostCouncil 22'!AH$123</f>
        <v>0</v>
      </c>
      <c r="AI57" s="43">
        <f>'$$xSchpostCouncil 22'!AI57/'$$xSchpostCouncil 22'!AI$123</f>
        <v>0</v>
      </c>
      <c r="AJ57" s="43"/>
      <c r="AK57" s="43">
        <f>'$$xSchpostCouncil 22'!AK57/'$$xSchpostCouncil 22'!AK$123</f>
        <v>0</v>
      </c>
      <c r="AL57" s="43">
        <f>'$$xSchpostCouncil 22'!AL57/'$$xSchpostCouncil 22'!AL$123</f>
        <v>0</v>
      </c>
      <c r="AM57" s="6"/>
      <c r="AN57" s="6"/>
      <c r="AO57" s="43">
        <f>'$$xSchpostCouncil 22'!AO57/'$$xSchpostCouncil 22'!AO$123</f>
        <v>0</v>
      </c>
      <c r="AP57" s="43">
        <f>'$$xSchpostCouncil 22'!AP57/'$$xSchpostCouncil 22'!AP$123</f>
        <v>0.14000302036972878</v>
      </c>
      <c r="AQ57" s="43">
        <f>'$$xSchpostCouncil 22'!AQ57/'$$xSchpostCouncil 22'!AQ$123</f>
        <v>0</v>
      </c>
      <c r="AR57" s="6"/>
      <c r="AS57" s="6">
        <f>34000-20400</f>
        <v>13600</v>
      </c>
      <c r="AT57" s="6">
        <f>34000-20400</f>
        <v>13600</v>
      </c>
      <c r="AU57" s="6">
        <v>10200</v>
      </c>
      <c r="AV57" s="6"/>
      <c r="AW57" s="6">
        <v>40800</v>
      </c>
      <c r="AX57" s="6"/>
      <c r="AY57" s="6"/>
      <c r="AZ57" s="6">
        <v>180466</v>
      </c>
      <c r="BA57" s="6"/>
      <c r="BB57" s="6"/>
      <c r="BC57" s="43">
        <f>'$$xSchpostCouncil 22'!BC57/'$$xSchpostCouncil 22'!BC$123</f>
        <v>0</v>
      </c>
      <c r="BD57" s="43">
        <f>'$$xSchpostCouncil 22'!BD57/'$$xSchpostCouncil 22'!BD$123</f>
        <v>0</v>
      </c>
      <c r="BE57" s="6"/>
      <c r="BF57" s="6"/>
      <c r="BG57" s="6"/>
      <c r="BH57" s="43">
        <f>'$$xSchpostCouncil 22'!BH57/'$$xSchpostCouncil 22'!BH$123</f>
        <v>0</v>
      </c>
      <c r="BI57" s="6"/>
      <c r="BJ57" s="43">
        <f>'$$xSchpostCouncil 22'!BJ57/'$$xSchpostCouncil 22'!BJ$123</f>
        <v>0</v>
      </c>
      <c r="BK57" s="6"/>
      <c r="BL57" s="43">
        <f>'$$xSchpostCouncil 22'!BL57/'$$xSchpostCouncil 22'!BL$123</f>
        <v>0</v>
      </c>
      <c r="BM57" s="6"/>
      <c r="BN57" s="43">
        <f>'$$xSchpostCouncil 22'!BN57/'$$xSchpostCouncil 22'!BN$123</f>
        <v>0</v>
      </c>
      <c r="BO57" s="43">
        <f>'$$xSchpostCouncil 22'!BO57/'$$xSchpostCouncil 22'!BO$123</f>
        <v>0</v>
      </c>
      <c r="BP57" s="6"/>
      <c r="BQ57" s="6"/>
      <c r="BR57" s="6"/>
      <c r="BS57" s="6"/>
      <c r="BT57" s="6"/>
      <c r="BU57" s="43">
        <f>'$$xSchpostCouncil 22'!BU57/'$$xSchpostCouncil 22'!BU$123</f>
        <v>0</v>
      </c>
      <c r="BV57" s="43">
        <f>'$$xSchpostCouncil 22'!BV57/'$$xSchpostCouncil 22'!BV$123</f>
        <v>0</v>
      </c>
      <c r="BW57" s="43">
        <f>'$$xSchpostCouncil 22'!BW57/'$$xSchpostCouncil 22'!BW$123</f>
        <v>0</v>
      </c>
      <c r="BX57" s="6">
        <v>729077</v>
      </c>
      <c r="BY57" s="6"/>
      <c r="BZ57" s="6"/>
      <c r="CA57" s="6"/>
      <c r="CB57" s="6"/>
      <c r="CC57" s="6">
        <v>65306</v>
      </c>
      <c r="CD57" s="6"/>
      <c r="CE57" s="6">
        <v>112569</v>
      </c>
      <c r="CF57" s="6">
        <v>0</v>
      </c>
      <c r="CI57" s="43">
        <f>'$$xSchpostCouncil 22'!CI57/'$$xSchpostCouncil 22'!CI$123</f>
        <v>1</v>
      </c>
      <c r="CJ57" s="43">
        <f>'$$xSchpostCouncil 22'!CJ57/'$$xSchpostCouncil 22'!CJ$123</f>
        <v>1</v>
      </c>
      <c r="CK57" s="43">
        <f>'$$xSchpostCouncil 22'!CK57/'$$xSchpostCouncil 22'!CK$123</f>
        <v>1</v>
      </c>
      <c r="CL57" s="43">
        <f>'$$xSchpostCouncil 22'!CL57/'$$xSchpostCouncil 22'!CL$123</f>
        <v>0</v>
      </c>
      <c r="CM57" s="43">
        <f>'$$xSchpostCouncil 22'!CM57/'$$xSchpostCouncil 22'!CM$123</f>
        <v>0</v>
      </c>
      <c r="CN57" s="43">
        <f>'$$xSchpostCouncil 22'!CN57/'$$xSchpostCouncil 22'!CN$123</f>
        <v>0</v>
      </c>
      <c r="CO57" s="43">
        <f>'$$xSchpostCouncil 22'!CO57/'$$xSchpostCouncil 22'!CO$123</f>
        <v>3</v>
      </c>
      <c r="CP57" s="43">
        <f>'$$xSchpostCouncil 22'!CP57/'$$xSchpostCouncil 22'!CP$123</f>
        <v>2</v>
      </c>
      <c r="CQ57" s="43">
        <f>'$$xSchpostCouncil 22'!CQ57/'$$xSchpostCouncil 22'!CQ$123</f>
        <v>17</v>
      </c>
      <c r="CR57" s="43">
        <f>'$$xSchpostCouncil 22'!CR57/'$$xSchpostCouncil 22'!CR$123</f>
        <v>0</v>
      </c>
      <c r="CS57" s="6"/>
      <c r="CT57" s="6"/>
      <c r="CU57" s="6"/>
      <c r="CV57" s="43">
        <f>'$$xSchpostCouncil 22'!CV57/'$$xSchpostCouncil 22'!CV$123</f>
        <v>0</v>
      </c>
      <c r="CW57" s="43">
        <f>'$$xSchpostCouncil 22'!CW57/'$$xSchpostCouncil 22'!CW$123</f>
        <v>0</v>
      </c>
      <c r="CX57" s="6">
        <v>0</v>
      </c>
      <c r="CY57" s="6"/>
      <c r="CZ57" s="6"/>
      <c r="DB57" s="43">
        <f>'$$xSchpostCouncil 22'!DB57/'$$xSchpostCouncil 22'!DB$123</f>
        <v>0</v>
      </c>
      <c r="DC57" s="43">
        <f>'$$xSchpostCouncil 22'!DC57/'$$xSchpostCouncil 22'!DC$123</f>
        <v>0</v>
      </c>
      <c r="DF57" s="43">
        <f>'$$xSchpostCouncil 22'!DF57/'$$xSchpostCouncil 22'!DF$123</f>
        <v>0</v>
      </c>
      <c r="DG57" s="43">
        <f>'$$xSchpostCouncil 22'!DG57/'$$xSchpostCouncil 22'!DG$123</f>
        <v>0</v>
      </c>
      <c r="DH57" s="43">
        <f>'$$xSchpostCouncil 22'!DH57/'$$xSchpostCouncil 22'!DH$123</f>
        <v>0</v>
      </c>
      <c r="DI57" s="43">
        <f>'$$xSchpostCouncil 22'!DI57/'$$xSchpostCouncil 22'!DI$123</f>
        <v>0</v>
      </c>
      <c r="DJ57" s="43">
        <f>'$$xSchpostCouncil 22'!DJ57/'$$xSchpostCouncil 22'!DJ$123</f>
        <v>0</v>
      </c>
      <c r="DK57" s="43">
        <f>'$$xSchpostCouncil 22'!DK57/'$$xSchpostCouncil 22'!DK$123</f>
        <v>0</v>
      </c>
      <c r="DL57" s="6">
        <v>5788</v>
      </c>
      <c r="DM57" s="6"/>
      <c r="DN57" s="43">
        <f>'$$xSchpostCouncil 22'!DN57/'$$xSchpostCouncil 22'!DN$123</f>
        <v>0</v>
      </c>
      <c r="DO57" s="6"/>
      <c r="DP57" s="6">
        <v>24700</v>
      </c>
      <c r="DU57" s="6">
        <f>VLOOKUP($A57,[3]Totals!$B$2:$K$119,10,FALSE)</f>
        <v>269212.21000000002</v>
      </c>
      <c r="DV57" s="6">
        <f>VLOOKUP($A57,[3]Totals!$B$2:$K$119,9,FALSE)</f>
        <v>244656</v>
      </c>
    </row>
    <row r="58" spans="1:126" x14ac:dyDescent="0.2">
      <c r="A58" s="3">
        <v>344</v>
      </c>
      <c r="B58" s="2" t="s">
        <v>71</v>
      </c>
      <c r="C58" t="s">
        <v>7</v>
      </c>
      <c r="D58">
        <v>8</v>
      </c>
      <c r="E58" s="1">
        <v>270</v>
      </c>
      <c r="F58" s="4">
        <v>0.79600000000000004</v>
      </c>
      <c r="G58">
        <v>215</v>
      </c>
      <c r="H58" s="43">
        <f>'$$xSchpostCouncil 22'!H58/'$$xSchpostCouncil 22'!H$123</f>
        <v>1</v>
      </c>
      <c r="I58" s="43">
        <f>'$$xSchpostCouncil 22'!I58/'$$xSchpostCouncil 22'!I$123</f>
        <v>0</v>
      </c>
      <c r="J58" s="43">
        <f>'$$xSchpostCouncil 22'!J58/'$$xSchpostCouncil 22'!J$123</f>
        <v>0</v>
      </c>
      <c r="K58" s="43">
        <f>'$$xSchpostCouncil 22'!K58/'$$xSchpostCouncil 22'!K$123</f>
        <v>1</v>
      </c>
      <c r="L58" s="6">
        <v>4448</v>
      </c>
      <c r="M58" s="43">
        <f>'$$xSchpostCouncil 22'!M58/'$$xSchpostCouncil 22'!M$123</f>
        <v>1</v>
      </c>
      <c r="N58" s="43">
        <f>'$$xSchpostCouncil 22'!N58/'$$xSchpostCouncil 22'!N$123</f>
        <v>1</v>
      </c>
      <c r="O58" s="43">
        <f>'$$xSchpostCouncil 22'!O58/'$$xSchpostCouncil 22'!O$123</f>
        <v>1</v>
      </c>
      <c r="P58" s="43">
        <f>'$$xSchpostCouncil 22'!P58/'$$xSchpostCouncil 22'!P$123</f>
        <v>1.0000006218408266</v>
      </c>
      <c r="Q58" s="43">
        <f>'$$xSchpostCouncil 22'!Q58/'$$xSchpostCouncil 22'!Q$123</f>
        <v>2</v>
      </c>
      <c r="R58" s="43">
        <f>'$$xSchpostCouncil 22'!R58/'$$xSchpostCouncil 22'!R$123</f>
        <v>0</v>
      </c>
      <c r="S58" s="43">
        <f>'$$xSchpostCouncil 22'!S58/'$$xSchpostCouncil 22'!S$123</f>
        <v>3</v>
      </c>
      <c r="T58" s="43">
        <f>'$$xSchpostCouncil 22'!T58/'$$xSchpostCouncil 22'!T$123</f>
        <v>5</v>
      </c>
      <c r="U58" s="6"/>
      <c r="V58" s="6"/>
      <c r="W58" s="6"/>
      <c r="X58" s="6"/>
      <c r="Y58" s="43">
        <f>'$$xSchpostCouncil 22'!Y58/'$$xSchpostCouncil 22'!Y$123</f>
        <v>0</v>
      </c>
      <c r="Z58" s="43">
        <f>'$$xSchpostCouncil 22'!Z58/'$$xSchpostCouncil 22'!Z$123</f>
        <v>0</v>
      </c>
      <c r="AA58" s="43">
        <f>'$$xSchpostCouncil 22'!AA58/'$$xSchpostCouncil 22'!AA$123</f>
        <v>0</v>
      </c>
      <c r="AB58" s="43">
        <f>'$$xSchpostCouncil 22'!AB58/'$$xSchpostCouncil 22'!AB$123</f>
        <v>0</v>
      </c>
      <c r="AC58" s="6"/>
      <c r="AD58" s="6">
        <v>107610</v>
      </c>
      <c r="AE58" s="43">
        <f>'$$xSchpostCouncil 22'!AE58/'$$xSchpostCouncil 22'!AE$123</f>
        <v>1</v>
      </c>
      <c r="AF58" s="43">
        <f>'$$xSchpostCouncil 22'!AF58/'$$xSchpostCouncil 22'!AF$123</f>
        <v>1</v>
      </c>
      <c r="AG58" s="43">
        <f>'$$xSchpostCouncil 22'!AG58/'$$xSchpostCouncil 22'!AG$123</f>
        <v>6</v>
      </c>
      <c r="AH58" s="43">
        <f>'$$xSchpostCouncil 22'!AH58/'$$xSchpostCouncil 22'!AH$123</f>
        <v>0</v>
      </c>
      <c r="AI58" s="43">
        <f>'$$xSchpostCouncil 22'!AI58/'$$xSchpostCouncil 22'!AI$123</f>
        <v>6</v>
      </c>
      <c r="AJ58" s="43"/>
      <c r="AK58" s="43">
        <f>'$$xSchpostCouncil 22'!AK58/'$$xSchpostCouncil 22'!AK$123</f>
        <v>0</v>
      </c>
      <c r="AL58" s="43">
        <f>'$$xSchpostCouncil 22'!AL58/'$$xSchpostCouncil 22'!AL$123</f>
        <v>0</v>
      </c>
      <c r="AM58" s="6"/>
      <c r="AN58" s="6"/>
      <c r="AO58" s="43">
        <f>'$$xSchpostCouncil 22'!AO58/'$$xSchpostCouncil 22'!AO$123</f>
        <v>0</v>
      </c>
      <c r="AP58" s="43">
        <f>'$$xSchpostCouncil 22'!AP58/'$$xSchpostCouncil 22'!AP$123</f>
        <v>4.9996002451829544E-2</v>
      </c>
      <c r="AQ58" s="43">
        <f>'$$xSchpostCouncil 22'!AQ58/'$$xSchpostCouncil 22'!AQ$123</f>
        <v>0</v>
      </c>
      <c r="AR58" s="6"/>
      <c r="AS58" s="6">
        <f>27200-13600</f>
        <v>13600</v>
      </c>
      <c r="AT58" s="6">
        <f>27200-13600</f>
        <v>13600</v>
      </c>
      <c r="AU58" s="6">
        <v>10200</v>
      </c>
      <c r="AV58" s="6"/>
      <c r="AW58" s="6">
        <v>27200</v>
      </c>
      <c r="AX58" s="6"/>
      <c r="AY58" s="6"/>
      <c r="AZ58" s="6">
        <v>122424.8</v>
      </c>
      <c r="BA58" s="6"/>
      <c r="BB58" s="6"/>
      <c r="BC58" s="43">
        <f>'$$xSchpostCouncil 22'!BC58/'$$xSchpostCouncil 22'!BC$123</f>
        <v>0</v>
      </c>
      <c r="BD58" s="43">
        <f>'$$xSchpostCouncil 22'!BD58/'$$xSchpostCouncil 22'!BD$123</f>
        <v>0</v>
      </c>
      <c r="BE58" s="6"/>
      <c r="BF58" s="6"/>
      <c r="BG58" s="6"/>
      <c r="BH58" s="43">
        <f>'$$xSchpostCouncil 22'!BH58/'$$xSchpostCouncil 22'!BH$123</f>
        <v>0</v>
      </c>
      <c r="BI58" s="6"/>
      <c r="BJ58" s="43">
        <f>'$$xSchpostCouncil 22'!BJ58/'$$xSchpostCouncil 22'!BJ$123</f>
        <v>0</v>
      </c>
      <c r="BK58" s="6"/>
      <c r="BL58" s="43">
        <f>'$$xSchpostCouncil 22'!BL58/'$$xSchpostCouncil 22'!BL$123</f>
        <v>0</v>
      </c>
      <c r="BM58" s="6"/>
      <c r="BN58" s="43">
        <f>'$$xSchpostCouncil 22'!BN58/'$$xSchpostCouncil 22'!BN$123</f>
        <v>0</v>
      </c>
      <c r="BO58" s="43">
        <f>'$$xSchpostCouncil 22'!BO58/'$$xSchpostCouncil 22'!BO$123</f>
        <v>0</v>
      </c>
      <c r="BP58" s="6"/>
      <c r="BQ58" s="6"/>
      <c r="BR58" s="6">
        <v>13859</v>
      </c>
      <c r="BS58" s="6"/>
      <c r="BT58" s="6"/>
      <c r="BU58" s="43">
        <f>'$$xSchpostCouncil 22'!BU58/'$$xSchpostCouncil 22'!BU$123</f>
        <v>0</v>
      </c>
      <c r="BV58" s="43">
        <f>'$$xSchpostCouncil 22'!BV58/'$$xSchpostCouncil 22'!BV$123</f>
        <v>0</v>
      </c>
      <c r="BW58" s="43">
        <f>'$$xSchpostCouncil 22'!BW58/'$$xSchpostCouncil 22'!BW$123</f>
        <v>0</v>
      </c>
      <c r="BX58" s="6">
        <v>544277.09499999997</v>
      </c>
      <c r="BY58" s="6"/>
      <c r="BZ58" s="6"/>
      <c r="CA58" s="6"/>
      <c r="CB58" s="6"/>
      <c r="CC58" s="6">
        <v>238774</v>
      </c>
      <c r="CD58" s="6"/>
      <c r="CE58" s="6">
        <v>112569</v>
      </c>
      <c r="CF58" s="6">
        <v>116130</v>
      </c>
      <c r="CI58" s="43">
        <f>'$$xSchpostCouncil 22'!CI58/'$$xSchpostCouncil 22'!CI$123</f>
        <v>1</v>
      </c>
      <c r="CJ58" s="43">
        <f>'$$xSchpostCouncil 22'!CJ58/'$$xSchpostCouncil 22'!CJ$123</f>
        <v>0</v>
      </c>
      <c r="CK58" s="43">
        <f>'$$xSchpostCouncil 22'!CK58/'$$xSchpostCouncil 22'!CK$123</f>
        <v>0.50000550182110282</v>
      </c>
      <c r="CL58" s="43">
        <f>'$$xSchpostCouncil 22'!CL58/'$$xSchpostCouncil 22'!CL$123</f>
        <v>0</v>
      </c>
      <c r="CM58" s="43">
        <f>'$$xSchpostCouncil 22'!CM58/'$$xSchpostCouncil 22'!CM$123</f>
        <v>0</v>
      </c>
      <c r="CN58" s="43">
        <f>'$$xSchpostCouncil 22'!CN58/'$$xSchpostCouncil 22'!CN$123</f>
        <v>0</v>
      </c>
      <c r="CO58" s="43">
        <f>'$$xSchpostCouncil 22'!CO58/'$$xSchpostCouncil 22'!CO$123</f>
        <v>3</v>
      </c>
      <c r="CP58" s="43">
        <f>'$$xSchpostCouncil 22'!CP58/'$$xSchpostCouncil 22'!CP$123</f>
        <v>2</v>
      </c>
      <c r="CQ58" s="43">
        <f>'$$xSchpostCouncil 22'!CQ58/'$$xSchpostCouncil 22'!CQ$123</f>
        <v>12</v>
      </c>
      <c r="CR58" s="43">
        <f>'$$xSchpostCouncil 22'!CR58/'$$xSchpostCouncil 22'!CR$123</f>
        <v>0</v>
      </c>
      <c r="CS58" s="6"/>
      <c r="CT58" s="6"/>
      <c r="CU58" s="6"/>
      <c r="CV58" s="43">
        <f>'$$xSchpostCouncil 22'!CV58/'$$xSchpostCouncil 22'!CV$123</f>
        <v>0</v>
      </c>
      <c r="CW58" s="43">
        <f>'$$xSchpostCouncil 22'!CW58/'$$xSchpostCouncil 22'!CW$123</f>
        <v>0</v>
      </c>
      <c r="CX58" s="6">
        <v>0</v>
      </c>
      <c r="CY58" s="6"/>
      <c r="CZ58" s="6"/>
      <c r="DB58" s="43">
        <f>'$$xSchpostCouncil 22'!DB58/'$$xSchpostCouncil 22'!DB$123</f>
        <v>0</v>
      </c>
      <c r="DC58" s="43">
        <f>'$$xSchpostCouncil 22'!DC58/'$$xSchpostCouncil 22'!DC$123</f>
        <v>0</v>
      </c>
      <c r="DF58" s="43">
        <f>'$$xSchpostCouncil 22'!DF58/'$$xSchpostCouncil 22'!DF$123</f>
        <v>0</v>
      </c>
      <c r="DG58" s="43">
        <f>'$$xSchpostCouncil 22'!DG58/'$$xSchpostCouncil 22'!DG$123</f>
        <v>0</v>
      </c>
      <c r="DH58" s="43">
        <f>'$$xSchpostCouncil 22'!DH58/'$$xSchpostCouncil 22'!DH$123</f>
        <v>0</v>
      </c>
      <c r="DI58" s="43">
        <f>'$$xSchpostCouncil 22'!DI58/'$$xSchpostCouncil 22'!DI$123</f>
        <v>0</v>
      </c>
      <c r="DJ58" s="43">
        <f>'$$xSchpostCouncil 22'!DJ58/'$$xSchpostCouncil 22'!DJ$123</f>
        <v>0</v>
      </c>
      <c r="DK58" s="43">
        <f>'$$xSchpostCouncil 22'!DK58/'$$xSchpostCouncil 22'!DK$123</f>
        <v>0</v>
      </c>
      <c r="DL58" s="6">
        <v>8637</v>
      </c>
      <c r="DM58" s="6"/>
      <c r="DN58" s="43">
        <f>'$$xSchpostCouncil 22'!DN58/'$$xSchpostCouncil 22'!DN$123</f>
        <v>0</v>
      </c>
      <c r="DO58" s="6"/>
      <c r="DP58" s="6">
        <v>18850</v>
      </c>
      <c r="DU58" s="6">
        <f>VLOOKUP($A58,[3]Totals!$B$2:$K$119,10,FALSE)</f>
        <v>122372.31</v>
      </c>
      <c r="DV58" s="6">
        <f>VLOOKUP($A58,[3]Totals!$B$2:$K$119,9,FALSE)</f>
        <v>177584</v>
      </c>
    </row>
    <row r="59" spans="1:126" x14ac:dyDescent="0.2">
      <c r="A59" s="3">
        <v>417</v>
      </c>
      <c r="B59" s="2" t="s">
        <v>70</v>
      </c>
      <c r="C59" t="s">
        <v>19</v>
      </c>
      <c r="D59">
        <v>8</v>
      </c>
      <c r="E59" s="1">
        <v>246</v>
      </c>
      <c r="F59" s="4">
        <v>0.85</v>
      </c>
      <c r="G59">
        <v>209</v>
      </c>
      <c r="H59" s="43">
        <f>'$$xSchpostCouncil 22'!H59/'$$xSchpostCouncil 22'!H$123</f>
        <v>1</v>
      </c>
      <c r="I59" s="43">
        <f>'$$xSchpostCouncil 22'!I59/'$$xSchpostCouncil 22'!I$123</f>
        <v>1</v>
      </c>
      <c r="J59" s="43">
        <f>'$$xSchpostCouncil 22'!J59/'$$xSchpostCouncil 22'!J$123</f>
        <v>0</v>
      </c>
      <c r="K59" s="43">
        <f>'$$xSchpostCouncil 22'!K59/'$$xSchpostCouncil 22'!K$123</f>
        <v>1</v>
      </c>
      <c r="L59" s="6">
        <v>5613</v>
      </c>
      <c r="M59" s="43">
        <f>'$$xSchpostCouncil 22'!M59/'$$xSchpostCouncil 22'!M$123</f>
        <v>1</v>
      </c>
      <c r="N59" s="43">
        <f>'$$xSchpostCouncil 22'!N59/'$$xSchpostCouncil 22'!N$123</f>
        <v>1</v>
      </c>
      <c r="O59" s="43">
        <f>'$$xSchpostCouncil 22'!O59/'$$xSchpostCouncil 22'!O$123</f>
        <v>3</v>
      </c>
      <c r="P59" s="43">
        <f>'$$xSchpostCouncil 22'!P59/'$$xSchpostCouncil 22'!P$123</f>
        <v>1.0000006218408266</v>
      </c>
      <c r="Q59" s="43">
        <f>'$$xSchpostCouncil 22'!Q59/'$$xSchpostCouncil 22'!Q$123</f>
        <v>0</v>
      </c>
      <c r="R59" s="43">
        <f>'$$xSchpostCouncil 22'!R59/'$$xSchpostCouncil 22'!R$123</f>
        <v>0</v>
      </c>
      <c r="S59" s="43">
        <f>'$$xSchpostCouncil 22'!S59/'$$xSchpostCouncil 22'!S$123</f>
        <v>0</v>
      </c>
      <c r="T59" s="43">
        <f>'$$xSchpostCouncil 22'!T59/'$$xSchpostCouncil 22'!T$123</f>
        <v>0</v>
      </c>
      <c r="U59" s="6"/>
      <c r="V59" s="6"/>
      <c r="W59" s="6"/>
      <c r="X59" s="6"/>
      <c r="Y59" s="43">
        <f>'$$xSchpostCouncil 22'!Y59/'$$xSchpostCouncil 22'!Y$123</f>
        <v>0</v>
      </c>
      <c r="Z59" s="43">
        <f>'$$xSchpostCouncil 22'!Z59/'$$xSchpostCouncil 22'!Z$123</f>
        <v>0</v>
      </c>
      <c r="AA59" s="43">
        <f>'$$xSchpostCouncil 22'!AA59/'$$xSchpostCouncil 22'!AA$123</f>
        <v>0</v>
      </c>
      <c r="AB59" s="43">
        <f>'$$xSchpostCouncil 22'!AB59/'$$xSchpostCouncil 22'!AB$123</f>
        <v>0</v>
      </c>
      <c r="AC59" s="6"/>
      <c r="AD59" s="6">
        <v>113729</v>
      </c>
      <c r="AE59" s="43">
        <f>'$$xSchpostCouncil 22'!AE59/'$$xSchpostCouncil 22'!AE$123</f>
        <v>1</v>
      </c>
      <c r="AF59" s="43">
        <f>'$$xSchpostCouncil 22'!AF59/'$$xSchpostCouncil 22'!AF$123</f>
        <v>2</v>
      </c>
      <c r="AG59" s="43">
        <f>'$$xSchpostCouncil 22'!AG59/'$$xSchpostCouncil 22'!AG$123</f>
        <v>10</v>
      </c>
      <c r="AH59" s="43">
        <f>'$$xSchpostCouncil 22'!AH59/'$$xSchpostCouncil 22'!AH$123</f>
        <v>0</v>
      </c>
      <c r="AI59" s="43">
        <f>'$$xSchpostCouncil 22'!AI59/'$$xSchpostCouncil 22'!AI$123</f>
        <v>4</v>
      </c>
      <c r="AJ59" s="43"/>
      <c r="AK59" s="43">
        <f>'$$xSchpostCouncil 22'!AK59/'$$xSchpostCouncil 22'!AK$123</f>
        <v>1</v>
      </c>
      <c r="AL59" s="43">
        <f>'$$xSchpostCouncil 22'!AL59/'$$xSchpostCouncil 22'!AL$123</f>
        <v>0</v>
      </c>
      <c r="AM59" s="6"/>
      <c r="AN59" s="6"/>
      <c r="AO59" s="43">
        <f>'$$xSchpostCouncil 22'!AO59/'$$xSchpostCouncil 22'!AO$123</f>
        <v>0</v>
      </c>
      <c r="AP59" s="43">
        <f>'$$xSchpostCouncil 22'!AP59/'$$xSchpostCouncil 22'!AP$123</f>
        <v>8.9998134477520447E-2</v>
      </c>
      <c r="AQ59" s="43">
        <f>'$$xSchpostCouncil 22'!AQ59/'$$xSchpostCouncil 22'!AQ$123</f>
        <v>0</v>
      </c>
      <c r="AR59" s="6"/>
      <c r="AS59" s="6"/>
      <c r="AT59" s="6"/>
      <c r="AU59" s="6"/>
      <c r="AV59" s="6"/>
      <c r="AW59" s="6">
        <v>0</v>
      </c>
      <c r="AX59" s="6"/>
      <c r="AY59" s="6"/>
      <c r="AZ59" s="6">
        <v>111544.11</v>
      </c>
      <c r="BA59" s="6"/>
      <c r="BB59" s="6"/>
      <c r="BC59" s="43">
        <f>'$$xSchpostCouncil 22'!BC59/'$$xSchpostCouncil 22'!BC$123</f>
        <v>0</v>
      </c>
      <c r="BD59" s="43">
        <f>'$$xSchpostCouncil 22'!BD59/'$$xSchpostCouncil 22'!BD$123</f>
        <v>0</v>
      </c>
      <c r="BE59" s="6"/>
      <c r="BF59" s="6"/>
      <c r="BG59" s="6"/>
      <c r="BH59" s="43">
        <f>'$$xSchpostCouncil 22'!BH59/'$$xSchpostCouncil 22'!BH$123</f>
        <v>0</v>
      </c>
      <c r="BI59" s="6"/>
      <c r="BJ59" s="43">
        <f>'$$xSchpostCouncil 22'!BJ59/'$$xSchpostCouncil 22'!BJ$123</f>
        <v>0</v>
      </c>
      <c r="BK59" s="6"/>
      <c r="BL59" s="43">
        <f>'$$xSchpostCouncil 22'!BL59/'$$xSchpostCouncil 22'!BL$123</f>
        <v>0</v>
      </c>
      <c r="BM59" s="6"/>
      <c r="BN59" s="43">
        <f>'$$xSchpostCouncil 22'!BN59/'$$xSchpostCouncil 22'!BN$123</f>
        <v>0</v>
      </c>
      <c r="BO59" s="43">
        <f>'$$xSchpostCouncil 22'!BO59/'$$xSchpostCouncil 22'!BO$123</f>
        <v>0</v>
      </c>
      <c r="BP59" s="6"/>
      <c r="BQ59" s="6"/>
      <c r="BR59" s="6"/>
      <c r="BS59" s="6"/>
      <c r="BT59" s="6"/>
      <c r="BU59" s="43">
        <f>'$$xSchpostCouncil 22'!BU59/'$$xSchpostCouncil 22'!BU$123</f>
        <v>0</v>
      </c>
      <c r="BV59" s="43">
        <f>'$$xSchpostCouncil 22'!BV59/'$$xSchpostCouncil 22'!BV$123</f>
        <v>0</v>
      </c>
      <c r="BW59" s="43">
        <f>'$$xSchpostCouncil 22'!BW59/'$$xSchpostCouncil 22'!BW$123</f>
        <v>0</v>
      </c>
      <c r="BX59" s="6">
        <v>529088</v>
      </c>
      <c r="BY59" s="6"/>
      <c r="BZ59" s="6"/>
      <c r="CA59" s="6"/>
      <c r="CB59" s="6"/>
      <c r="CC59" s="6"/>
      <c r="CD59" s="6"/>
      <c r="CE59" s="6">
        <v>112569</v>
      </c>
      <c r="CF59" s="6">
        <v>173372</v>
      </c>
      <c r="CI59" s="43">
        <f>'$$xSchpostCouncil 22'!CI59/'$$xSchpostCouncil 22'!CI$123</f>
        <v>1</v>
      </c>
      <c r="CJ59" s="43">
        <f>'$$xSchpostCouncil 22'!CJ59/'$$xSchpostCouncil 22'!CJ$123</f>
        <v>0.79999872228149416</v>
      </c>
      <c r="CK59" s="43">
        <f>'$$xSchpostCouncil 22'!CK59/'$$xSchpostCouncil 22'!CK$123</f>
        <v>0.50000550182110282</v>
      </c>
      <c r="CL59" s="43">
        <f>'$$xSchpostCouncil 22'!CL59/'$$xSchpostCouncil 22'!CL$123</f>
        <v>0</v>
      </c>
      <c r="CM59" s="43">
        <f>'$$xSchpostCouncil 22'!CM59/'$$xSchpostCouncil 22'!CM$123</f>
        <v>0</v>
      </c>
      <c r="CN59" s="43">
        <f>'$$xSchpostCouncil 22'!CN59/'$$xSchpostCouncil 22'!CN$123</f>
        <v>1</v>
      </c>
      <c r="CO59" s="43">
        <f>'$$xSchpostCouncil 22'!CO59/'$$xSchpostCouncil 22'!CO$123</f>
        <v>0</v>
      </c>
      <c r="CP59" s="43">
        <f>'$$xSchpostCouncil 22'!CP59/'$$xSchpostCouncil 22'!CP$123</f>
        <v>0</v>
      </c>
      <c r="CQ59" s="43">
        <f>'$$xSchpostCouncil 22'!CQ59/'$$xSchpostCouncil 22'!CQ$123</f>
        <v>11.200001776688076</v>
      </c>
      <c r="CR59" s="43">
        <f>'$$xSchpostCouncil 22'!CR59/'$$xSchpostCouncil 22'!CR$123</f>
        <v>2</v>
      </c>
      <c r="CS59" s="6">
        <v>23000</v>
      </c>
      <c r="CT59" s="6"/>
      <c r="CU59" s="6">
        <v>100000</v>
      </c>
      <c r="CV59" s="43">
        <f>'$$xSchpostCouncil 22'!CV59/'$$xSchpostCouncil 22'!CV$123</f>
        <v>0</v>
      </c>
      <c r="CW59" s="43">
        <f>'$$xSchpostCouncil 22'!CW59/'$$xSchpostCouncil 22'!CW$123</f>
        <v>1</v>
      </c>
      <c r="CX59" s="6">
        <v>0</v>
      </c>
      <c r="CY59" s="6">
        <v>75000</v>
      </c>
      <c r="CZ59" s="6"/>
      <c r="DB59" s="43">
        <f>'$$xSchpostCouncil 22'!DB59/'$$xSchpostCouncil 22'!DB$123</f>
        <v>0</v>
      </c>
      <c r="DC59" s="43">
        <f>'$$xSchpostCouncil 22'!DC59/'$$xSchpostCouncil 22'!DC$123</f>
        <v>0</v>
      </c>
      <c r="DF59" s="43">
        <f>'$$xSchpostCouncil 22'!DF59/'$$xSchpostCouncil 22'!DF$123</f>
        <v>0</v>
      </c>
      <c r="DG59" s="43">
        <f>'$$xSchpostCouncil 22'!DG59/'$$xSchpostCouncil 22'!DG$123</f>
        <v>0</v>
      </c>
      <c r="DH59" s="43">
        <f>'$$xSchpostCouncil 22'!DH59/'$$xSchpostCouncil 22'!DH$123</f>
        <v>0</v>
      </c>
      <c r="DI59" s="43">
        <f>'$$xSchpostCouncil 22'!DI59/'$$xSchpostCouncil 22'!DI$123</f>
        <v>1</v>
      </c>
      <c r="DJ59" s="43">
        <f>'$$xSchpostCouncil 22'!DJ59/'$$xSchpostCouncil 22'!DJ$123</f>
        <v>0</v>
      </c>
      <c r="DK59" s="43">
        <f>'$$xSchpostCouncil 22'!DK59/'$$xSchpostCouncil 22'!DK$123</f>
        <v>0</v>
      </c>
      <c r="DL59" s="6">
        <v>8389</v>
      </c>
      <c r="DM59" s="6"/>
      <c r="DN59" s="43">
        <f>'$$xSchpostCouncil 22'!DN59/'$$xSchpostCouncil 22'!DN$123</f>
        <v>0</v>
      </c>
      <c r="DO59" s="6"/>
      <c r="DP59" s="6">
        <v>48750</v>
      </c>
      <c r="DU59" s="6">
        <f>VLOOKUP($A59,[3]Totals!$B$2:$K$119,10,FALSE)</f>
        <v>117805.41</v>
      </c>
      <c r="DV59" s="6">
        <f>VLOOKUP($A59,[3]Totals!$B$2:$K$119,9,FALSE)</f>
        <v>182079</v>
      </c>
    </row>
    <row r="60" spans="1:126" x14ac:dyDescent="0.2">
      <c r="A60" s="3">
        <v>261</v>
      </c>
      <c r="B60" s="2" t="s">
        <v>69</v>
      </c>
      <c r="C60" t="s">
        <v>7</v>
      </c>
      <c r="D60">
        <v>4</v>
      </c>
      <c r="E60" s="1">
        <v>942</v>
      </c>
      <c r="F60" s="4">
        <v>0.04</v>
      </c>
      <c r="G60">
        <v>38</v>
      </c>
      <c r="H60" s="43">
        <f>'$$xSchpostCouncil 22'!H60/'$$xSchpostCouncil 22'!H$123</f>
        <v>1</v>
      </c>
      <c r="I60" s="43">
        <f>'$$xSchpostCouncil 22'!I60/'$$xSchpostCouncil 22'!I$123</f>
        <v>0</v>
      </c>
      <c r="J60" s="43">
        <f>'$$xSchpostCouncil 22'!J60/'$$xSchpostCouncil 22'!J$123</f>
        <v>0</v>
      </c>
      <c r="K60" s="43">
        <f>'$$xSchpostCouncil 22'!K60/'$$xSchpostCouncil 22'!K$123</f>
        <v>1</v>
      </c>
      <c r="L60" s="6">
        <v>9385</v>
      </c>
      <c r="M60" s="43">
        <f>'$$xSchpostCouncil 22'!M60/'$$xSchpostCouncil 22'!M$123</f>
        <v>1</v>
      </c>
      <c r="N60" s="43">
        <f>'$$xSchpostCouncil 22'!N60/'$$xSchpostCouncil 22'!N$123</f>
        <v>1</v>
      </c>
      <c r="O60" s="43">
        <f>'$$xSchpostCouncil 22'!O60/'$$xSchpostCouncil 22'!O$123</f>
        <v>4</v>
      </c>
      <c r="P60" s="43">
        <f>'$$xSchpostCouncil 22'!P60/'$$xSchpostCouncil 22'!P$123</f>
        <v>1</v>
      </c>
      <c r="Q60" s="43">
        <f>'$$xSchpostCouncil 22'!Q60/'$$xSchpostCouncil 22'!Q$123</f>
        <v>0</v>
      </c>
      <c r="R60" s="43">
        <f>'$$xSchpostCouncil 22'!R60/'$$xSchpostCouncil 22'!R$123</f>
        <v>0</v>
      </c>
      <c r="S60" s="43">
        <f>'$$xSchpostCouncil 22'!S60/'$$xSchpostCouncil 22'!S$123</f>
        <v>2</v>
      </c>
      <c r="T60" s="43">
        <f>'$$xSchpostCouncil 22'!T60/'$$xSchpostCouncil 22'!T$123</f>
        <v>2</v>
      </c>
      <c r="U60" s="6"/>
      <c r="V60" s="6"/>
      <c r="W60" s="6"/>
      <c r="X60" s="6"/>
      <c r="Y60" s="43">
        <f>'$$xSchpostCouncil 22'!Y60/'$$xSchpostCouncil 22'!Y$123</f>
        <v>0</v>
      </c>
      <c r="Z60" s="43">
        <f>'$$xSchpostCouncil 22'!Z60/'$$xSchpostCouncil 22'!Z$123</f>
        <v>0</v>
      </c>
      <c r="AA60" s="43">
        <f>'$$xSchpostCouncil 22'!AA60/'$$xSchpostCouncil 22'!AA$123</f>
        <v>0</v>
      </c>
      <c r="AB60" s="43">
        <f>'$$xSchpostCouncil 22'!AB60/'$$xSchpostCouncil 22'!AB$123</f>
        <v>0</v>
      </c>
      <c r="AC60" s="6"/>
      <c r="AD60" s="6">
        <v>296511</v>
      </c>
      <c r="AE60" s="43">
        <f>'$$xSchpostCouncil 22'!AE60/'$$xSchpostCouncil 22'!AE$123</f>
        <v>2</v>
      </c>
      <c r="AF60" s="43">
        <f>'$$xSchpostCouncil 22'!AF60/'$$xSchpostCouncil 22'!AF$123</f>
        <v>2</v>
      </c>
      <c r="AG60" s="43">
        <f>'$$xSchpostCouncil 22'!AG60/'$$xSchpostCouncil 22'!AG$123</f>
        <v>10</v>
      </c>
      <c r="AH60" s="43">
        <f>'$$xSchpostCouncil 22'!AH60/'$$xSchpostCouncil 22'!AH$123</f>
        <v>0</v>
      </c>
      <c r="AI60" s="43">
        <f>'$$xSchpostCouncil 22'!AI60/'$$xSchpostCouncil 22'!AI$123</f>
        <v>5</v>
      </c>
      <c r="AJ60" s="43"/>
      <c r="AK60" s="43">
        <f>'$$xSchpostCouncil 22'!AK60/'$$xSchpostCouncil 22'!AK$123</f>
        <v>0</v>
      </c>
      <c r="AL60" s="43">
        <f>'$$xSchpostCouncil 22'!AL60/'$$xSchpostCouncil 22'!AL$123</f>
        <v>0</v>
      </c>
      <c r="AM60" s="6"/>
      <c r="AN60" s="6"/>
      <c r="AO60" s="43">
        <f>'$$xSchpostCouncil 22'!AO60/'$$xSchpostCouncil 22'!AO$123</f>
        <v>3</v>
      </c>
      <c r="AP60" s="43">
        <f>'$$xSchpostCouncil 22'!AP60/'$$xSchpostCouncil 22'!AP$123</f>
        <v>0</v>
      </c>
      <c r="AQ60" s="43">
        <f>'$$xSchpostCouncil 22'!AQ60/'$$xSchpostCouncil 22'!AQ$123</f>
        <v>0</v>
      </c>
      <c r="AR60" s="6"/>
      <c r="AS60" s="6"/>
      <c r="AT60" s="6"/>
      <c r="AU60" s="6"/>
      <c r="AV60" s="6"/>
      <c r="AW60" s="6">
        <v>0</v>
      </c>
      <c r="AX60" s="6"/>
      <c r="AY60" s="6"/>
      <c r="AZ60" s="6">
        <v>0</v>
      </c>
      <c r="BA60" s="6"/>
      <c r="BB60" s="6">
        <v>24550</v>
      </c>
      <c r="BC60" s="43">
        <f>'$$xSchpostCouncil 22'!BC60/'$$xSchpostCouncil 22'!BC$123</f>
        <v>0</v>
      </c>
      <c r="BD60" s="43">
        <f>'$$xSchpostCouncil 22'!BD60/'$$xSchpostCouncil 22'!BD$123</f>
        <v>0</v>
      </c>
      <c r="BE60" s="6"/>
      <c r="BF60" s="6"/>
      <c r="BG60" s="6"/>
      <c r="BH60" s="43">
        <f>'$$xSchpostCouncil 22'!BH60/'$$xSchpostCouncil 22'!BH$123</f>
        <v>0</v>
      </c>
      <c r="BI60" s="6"/>
      <c r="BJ60" s="43">
        <f>'$$xSchpostCouncil 22'!BJ60/'$$xSchpostCouncil 22'!BJ$123</f>
        <v>0</v>
      </c>
      <c r="BK60" s="6"/>
      <c r="BL60" s="43">
        <f>'$$xSchpostCouncil 22'!BL60/'$$xSchpostCouncil 22'!BL$123</f>
        <v>0</v>
      </c>
      <c r="BM60" s="6"/>
      <c r="BN60" s="43">
        <f>'$$xSchpostCouncil 22'!BN60/'$$xSchpostCouncil 22'!BN$123</f>
        <v>0</v>
      </c>
      <c r="BO60" s="43">
        <f>'$$xSchpostCouncil 22'!BO60/'$$xSchpostCouncil 22'!BO$123</f>
        <v>0</v>
      </c>
      <c r="BP60" s="6"/>
      <c r="BQ60" s="6"/>
      <c r="BR60" s="6"/>
      <c r="BS60" s="6"/>
      <c r="BT60" s="6"/>
      <c r="BU60" s="43">
        <f>'$$xSchpostCouncil 22'!BU60/'$$xSchpostCouncil 22'!BU$123</f>
        <v>0</v>
      </c>
      <c r="BV60" s="43">
        <f>'$$xSchpostCouncil 22'!BV60/'$$xSchpostCouncil 22'!BV$123</f>
        <v>0</v>
      </c>
      <c r="BW60" s="43">
        <f>'$$xSchpostCouncil 22'!BW60/'$$xSchpostCouncil 22'!BW$123</f>
        <v>0</v>
      </c>
      <c r="BX60" s="6">
        <v>96198</v>
      </c>
      <c r="BY60" s="6"/>
      <c r="BZ60" s="6"/>
      <c r="CA60" s="6"/>
      <c r="CB60" s="6"/>
      <c r="CC60" s="6">
        <v>377903</v>
      </c>
      <c r="CD60" s="6">
        <v>115428</v>
      </c>
      <c r="CE60" s="6">
        <v>112569</v>
      </c>
      <c r="CF60" s="6">
        <v>337708</v>
      </c>
      <c r="CI60" s="43">
        <f>'$$xSchpostCouncil 22'!CI60/'$$xSchpostCouncil 22'!CI$123</f>
        <v>1</v>
      </c>
      <c r="CJ60" s="43">
        <f>'$$xSchpostCouncil 22'!CJ60/'$$xSchpostCouncil 22'!CJ$123</f>
        <v>2.5000031942962644</v>
      </c>
      <c r="CK60" s="43">
        <f>'$$xSchpostCouncil 22'!CK60/'$$xSchpostCouncil 22'!CK$123</f>
        <v>1</v>
      </c>
      <c r="CL60" s="43">
        <f>'$$xSchpostCouncil 22'!CL60/'$$xSchpostCouncil 22'!CL$123</f>
        <v>2.5000098738126741</v>
      </c>
      <c r="CM60" s="43">
        <f>'$$xSchpostCouncil 22'!CM60/'$$xSchpostCouncil 22'!CM$123</f>
        <v>0</v>
      </c>
      <c r="CN60" s="43">
        <f>'$$xSchpostCouncil 22'!CN60/'$$xSchpostCouncil 22'!CN$123</f>
        <v>0</v>
      </c>
      <c r="CO60" s="43">
        <f>'$$xSchpostCouncil 22'!CO60/'$$xSchpostCouncil 22'!CO$123</f>
        <v>5.500004441720189</v>
      </c>
      <c r="CP60" s="43">
        <f>'$$xSchpostCouncil 22'!CP60/'$$xSchpostCouncil 22'!CP$123</f>
        <v>6</v>
      </c>
      <c r="CQ60" s="43">
        <f>'$$xSchpostCouncil 22'!CQ60/'$$xSchpostCouncil 22'!CQ$123</f>
        <v>39</v>
      </c>
      <c r="CR60" s="43">
        <f>'$$xSchpostCouncil 22'!CR60/'$$xSchpostCouncil 22'!CR$123</f>
        <v>0</v>
      </c>
      <c r="CS60" s="6"/>
      <c r="CT60" s="6"/>
      <c r="CU60" s="6"/>
      <c r="CV60" s="43">
        <f>'$$xSchpostCouncil 22'!CV60/'$$xSchpostCouncil 22'!CV$123</f>
        <v>0</v>
      </c>
      <c r="CW60" s="43">
        <f>'$$xSchpostCouncil 22'!CW60/'$$xSchpostCouncil 22'!CW$123</f>
        <v>0</v>
      </c>
      <c r="CX60" s="6">
        <v>0</v>
      </c>
      <c r="CY60" s="6"/>
      <c r="CZ60" s="6"/>
      <c r="DB60" s="43">
        <f>'$$xSchpostCouncil 22'!DB60/'$$xSchpostCouncil 22'!DB$123</f>
        <v>0</v>
      </c>
      <c r="DC60" s="43">
        <f>'$$xSchpostCouncil 22'!DC60/'$$xSchpostCouncil 22'!DC$123</f>
        <v>0</v>
      </c>
      <c r="DF60" s="43">
        <f>'$$xSchpostCouncil 22'!DF60/'$$xSchpostCouncil 22'!DF$123</f>
        <v>0</v>
      </c>
      <c r="DG60" s="43">
        <f>'$$xSchpostCouncil 22'!DG60/'$$xSchpostCouncil 22'!DG$123</f>
        <v>2</v>
      </c>
      <c r="DH60" s="43">
        <f>'$$xSchpostCouncil 22'!DH60/'$$xSchpostCouncil 22'!DH$123</f>
        <v>0</v>
      </c>
      <c r="DI60" s="43">
        <f>'$$xSchpostCouncil 22'!DI60/'$$xSchpostCouncil 22'!DI$123</f>
        <v>0</v>
      </c>
      <c r="DJ60" s="43">
        <f>'$$xSchpostCouncil 22'!DJ60/'$$xSchpostCouncil 22'!DJ$123</f>
        <v>0</v>
      </c>
      <c r="DK60" s="43">
        <f>'$$xSchpostCouncil 22'!DK60/'$$xSchpostCouncil 22'!DK$123</f>
        <v>0</v>
      </c>
      <c r="DL60" s="6"/>
      <c r="DM60" s="6"/>
      <c r="DN60" s="43">
        <f>'$$xSchpostCouncil 22'!DN60/'$$xSchpostCouncil 22'!DN$123</f>
        <v>0</v>
      </c>
      <c r="DO60" s="6"/>
      <c r="DP60" s="6">
        <v>4375</v>
      </c>
      <c r="DU60" s="6">
        <f>VLOOKUP($A60,[3]Totals!$B$2:$K$119,10,FALSE)</f>
        <v>84520.98</v>
      </c>
      <c r="DV60" s="6">
        <f>VLOOKUP($A60,[3]Totals!$B$2:$K$119,9,FALSE)</f>
        <v>917558.5</v>
      </c>
    </row>
    <row r="61" spans="1:126" x14ac:dyDescent="0.2">
      <c r="A61" s="3">
        <v>262</v>
      </c>
      <c r="B61" s="2" t="s">
        <v>68</v>
      </c>
      <c r="C61" t="s">
        <v>7</v>
      </c>
      <c r="D61">
        <v>5</v>
      </c>
      <c r="E61" s="1">
        <v>358</v>
      </c>
      <c r="F61" s="4">
        <v>0.503</v>
      </c>
      <c r="G61">
        <v>180</v>
      </c>
      <c r="H61" s="43">
        <f>'$$xSchpostCouncil 22'!H61/'$$xSchpostCouncil 22'!H$123</f>
        <v>1</v>
      </c>
      <c r="I61" s="43">
        <f>'$$xSchpostCouncil 22'!I61/'$$xSchpostCouncil 22'!I$123</f>
        <v>0</v>
      </c>
      <c r="J61" s="43">
        <f>'$$xSchpostCouncil 22'!J61/'$$xSchpostCouncil 22'!J$123</f>
        <v>0</v>
      </c>
      <c r="K61" s="43">
        <f>'$$xSchpostCouncil 22'!K61/'$$xSchpostCouncil 22'!K$123</f>
        <v>1</v>
      </c>
      <c r="L61" s="6">
        <v>6086</v>
      </c>
      <c r="M61" s="43">
        <f>'$$xSchpostCouncil 22'!M61/'$$xSchpostCouncil 22'!M$123</f>
        <v>1</v>
      </c>
      <c r="N61" s="43">
        <f>'$$xSchpostCouncil 22'!N61/'$$xSchpostCouncil 22'!N$123</f>
        <v>1</v>
      </c>
      <c r="O61" s="43">
        <f>'$$xSchpostCouncil 22'!O61/'$$xSchpostCouncil 22'!O$123</f>
        <v>3</v>
      </c>
      <c r="P61" s="43">
        <f>'$$xSchpostCouncil 22'!P61/'$$xSchpostCouncil 22'!P$123</f>
        <v>1</v>
      </c>
      <c r="Q61" s="43">
        <f>'$$xSchpostCouncil 22'!Q61/'$$xSchpostCouncil 22'!Q$123</f>
        <v>1</v>
      </c>
      <c r="R61" s="43">
        <f>'$$xSchpostCouncil 22'!R61/'$$xSchpostCouncil 22'!R$123</f>
        <v>3</v>
      </c>
      <c r="S61" s="43">
        <f>'$$xSchpostCouncil 22'!S61/'$$xSchpostCouncil 22'!S$123</f>
        <v>1</v>
      </c>
      <c r="T61" s="43">
        <f>'$$xSchpostCouncil 22'!T61/'$$xSchpostCouncil 22'!T$123</f>
        <v>5</v>
      </c>
      <c r="U61" s="6"/>
      <c r="V61" s="6"/>
      <c r="W61" s="6"/>
      <c r="X61" s="6"/>
      <c r="Y61" s="43">
        <f>'$$xSchpostCouncil 22'!Y61/'$$xSchpostCouncil 22'!Y$123</f>
        <v>0</v>
      </c>
      <c r="Z61" s="43">
        <f>'$$xSchpostCouncil 22'!Z61/'$$xSchpostCouncil 22'!Z$123</f>
        <v>0</v>
      </c>
      <c r="AA61" s="43">
        <f>'$$xSchpostCouncil 22'!AA61/'$$xSchpostCouncil 22'!AA$123</f>
        <v>0</v>
      </c>
      <c r="AB61" s="43">
        <f>'$$xSchpostCouncil 22'!AB61/'$$xSchpostCouncil 22'!AB$123</f>
        <v>0</v>
      </c>
      <c r="AC61" s="6"/>
      <c r="AD61" s="6">
        <v>135180</v>
      </c>
      <c r="AE61" s="43">
        <f>'$$xSchpostCouncil 22'!AE61/'$$xSchpostCouncil 22'!AE$123</f>
        <v>1</v>
      </c>
      <c r="AF61" s="43">
        <f>'$$xSchpostCouncil 22'!AF61/'$$xSchpostCouncil 22'!AF$123</f>
        <v>2</v>
      </c>
      <c r="AG61" s="43">
        <f>'$$xSchpostCouncil 22'!AG61/'$$xSchpostCouncil 22'!AG$123</f>
        <v>6</v>
      </c>
      <c r="AH61" s="43">
        <f>'$$xSchpostCouncil 22'!AH61/'$$xSchpostCouncil 22'!AH$123</f>
        <v>0</v>
      </c>
      <c r="AI61" s="43">
        <f>'$$xSchpostCouncil 22'!AI61/'$$xSchpostCouncil 22'!AI$123</f>
        <v>6</v>
      </c>
      <c r="AJ61" s="43"/>
      <c r="AK61" s="43">
        <f>'$$xSchpostCouncil 22'!AK61/'$$xSchpostCouncil 22'!AK$123</f>
        <v>0</v>
      </c>
      <c r="AL61" s="43">
        <f>'$$xSchpostCouncil 22'!AL61/'$$xSchpostCouncil 22'!AL$123</f>
        <v>0</v>
      </c>
      <c r="AM61" s="6"/>
      <c r="AN61" s="6"/>
      <c r="AO61" s="43">
        <f>'$$xSchpostCouncil 22'!AO61/'$$xSchpostCouncil 22'!AO$123</f>
        <v>1</v>
      </c>
      <c r="AP61" s="43">
        <f>'$$xSchpostCouncil 22'!AP61/'$$xSchpostCouncil 22'!AP$123</f>
        <v>0</v>
      </c>
      <c r="AQ61" s="43">
        <f>'$$xSchpostCouncil 22'!AQ61/'$$xSchpostCouncil 22'!AQ$123</f>
        <v>0</v>
      </c>
      <c r="AR61" s="6"/>
      <c r="AS61" s="6">
        <f>40800-20400</f>
        <v>20400</v>
      </c>
      <c r="AT61" s="6">
        <f>40800-20400</f>
        <v>20400</v>
      </c>
      <c r="AU61" s="6"/>
      <c r="AV61" s="6"/>
      <c r="AW61" s="6">
        <v>40800</v>
      </c>
      <c r="AX61" s="6"/>
      <c r="AY61" s="6"/>
      <c r="AZ61" s="6">
        <v>162330.84</v>
      </c>
      <c r="BA61" s="6"/>
      <c r="BB61" s="6"/>
      <c r="BC61" s="43">
        <f>'$$xSchpostCouncil 22'!BC61/'$$xSchpostCouncil 22'!BC$123</f>
        <v>0</v>
      </c>
      <c r="BD61" s="43">
        <f>'$$xSchpostCouncil 22'!BD61/'$$xSchpostCouncil 22'!BD$123</f>
        <v>0</v>
      </c>
      <c r="BE61" s="6"/>
      <c r="BF61" s="6"/>
      <c r="BG61" s="6"/>
      <c r="BH61" s="43">
        <f>'$$xSchpostCouncil 22'!BH61/'$$xSchpostCouncil 22'!BH$123</f>
        <v>0</v>
      </c>
      <c r="BI61" s="6"/>
      <c r="BJ61" s="43">
        <f>'$$xSchpostCouncil 22'!BJ61/'$$xSchpostCouncil 22'!BJ$123</f>
        <v>0</v>
      </c>
      <c r="BK61" s="6"/>
      <c r="BL61" s="43">
        <f>'$$xSchpostCouncil 22'!BL61/'$$xSchpostCouncil 22'!BL$123</f>
        <v>0</v>
      </c>
      <c r="BM61" s="6"/>
      <c r="BN61" s="43">
        <f>'$$xSchpostCouncil 22'!BN61/'$$xSchpostCouncil 22'!BN$123</f>
        <v>0</v>
      </c>
      <c r="BO61" s="43">
        <f>'$$xSchpostCouncil 22'!BO61/'$$xSchpostCouncil 22'!BO$123</f>
        <v>0</v>
      </c>
      <c r="BP61" s="6"/>
      <c r="BQ61" s="6"/>
      <c r="BR61" s="6"/>
      <c r="BS61" s="6"/>
      <c r="BT61" s="6"/>
      <c r="BU61" s="43">
        <f>'$$xSchpostCouncil 22'!BU61/'$$xSchpostCouncil 22'!BU$123</f>
        <v>0</v>
      </c>
      <c r="BV61" s="43">
        <f>'$$xSchpostCouncil 22'!BV61/'$$xSchpostCouncil 22'!BV$123</f>
        <v>0</v>
      </c>
      <c r="BW61" s="43">
        <f>'$$xSchpostCouncil 22'!BW61/'$$xSchpostCouncil 22'!BW$123</f>
        <v>0</v>
      </c>
      <c r="BX61" s="6">
        <v>455674</v>
      </c>
      <c r="BY61" s="6"/>
      <c r="BZ61" s="6"/>
      <c r="CA61" s="6"/>
      <c r="CB61" s="6"/>
      <c r="CC61" s="6"/>
      <c r="CD61" s="6"/>
      <c r="CE61" s="6"/>
      <c r="CF61" s="6">
        <v>10200</v>
      </c>
      <c r="CI61" s="43">
        <f>'$$xSchpostCouncil 22'!CI61/'$$xSchpostCouncil 22'!CI$123</f>
        <v>1</v>
      </c>
      <c r="CJ61" s="43">
        <f>'$$xSchpostCouncil 22'!CJ61/'$$xSchpostCouncil 22'!CJ$123</f>
        <v>0.89999936114074708</v>
      </c>
      <c r="CK61" s="43">
        <f>'$$xSchpostCouncil 22'!CK61/'$$xSchpostCouncil 22'!CK$123</f>
        <v>1</v>
      </c>
      <c r="CL61" s="43">
        <f>'$$xSchpostCouncil 22'!CL61/'$$xSchpostCouncil 22'!CL$123</f>
        <v>0</v>
      </c>
      <c r="CM61" s="43">
        <f>'$$xSchpostCouncil 22'!CM61/'$$xSchpostCouncil 22'!CM$123</f>
        <v>0</v>
      </c>
      <c r="CN61" s="43">
        <f>'$$xSchpostCouncil 22'!CN61/'$$xSchpostCouncil 22'!CN$123</f>
        <v>0</v>
      </c>
      <c r="CO61" s="43">
        <f>'$$xSchpostCouncil 22'!CO61/'$$xSchpostCouncil 22'!CO$123</f>
        <v>3</v>
      </c>
      <c r="CP61" s="43">
        <f>'$$xSchpostCouncil 22'!CP61/'$$xSchpostCouncil 22'!CP$123</f>
        <v>3</v>
      </c>
      <c r="CQ61" s="43">
        <f>'$$xSchpostCouncil 22'!CQ61/'$$xSchpostCouncil 22'!CQ$123</f>
        <v>15</v>
      </c>
      <c r="CR61" s="43">
        <f>'$$xSchpostCouncil 22'!CR61/'$$xSchpostCouncil 22'!CR$123</f>
        <v>0</v>
      </c>
      <c r="CS61" s="6"/>
      <c r="CT61" s="6"/>
      <c r="CU61" s="6"/>
      <c r="CV61" s="43">
        <f>'$$xSchpostCouncil 22'!CV61/'$$xSchpostCouncil 22'!CV$123</f>
        <v>0</v>
      </c>
      <c r="CW61" s="43">
        <f>'$$xSchpostCouncil 22'!CW61/'$$xSchpostCouncil 22'!CW$123</f>
        <v>0</v>
      </c>
      <c r="CX61" s="6">
        <v>0</v>
      </c>
      <c r="CY61" s="6"/>
      <c r="CZ61" s="6"/>
      <c r="DB61" s="43">
        <f>'$$xSchpostCouncil 22'!DB61/'$$xSchpostCouncil 22'!DB$123</f>
        <v>0</v>
      </c>
      <c r="DC61" s="43">
        <f>'$$xSchpostCouncil 22'!DC61/'$$xSchpostCouncil 22'!DC$123</f>
        <v>0</v>
      </c>
      <c r="DF61" s="43">
        <f>'$$xSchpostCouncil 22'!DF61/'$$xSchpostCouncil 22'!DF$123</f>
        <v>0</v>
      </c>
      <c r="DG61" s="43">
        <f>'$$xSchpostCouncil 22'!DG61/'$$xSchpostCouncil 22'!DG$123</f>
        <v>0</v>
      </c>
      <c r="DH61" s="43">
        <f>'$$xSchpostCouncil 22'!DH61/'$$xSchpostCouncil 22'!DH$123</f>
        <v>0</v>
      </c>
      <c r="DI61" s="43">
        <f>'$$xSchpostCouncil 22'!DI61/'$$xSchpostCouncil 22'!DI$123</f>
        <v>0</v>
      </c>
      <c r="DJ61" s="43">
        <f>'$$xSchpostCouncil 22'!DJ61/'$$xSchpostCouncil 22'!DJ$123</f>
        <v>0</v>
      </c>
      <c r="DK61" s="43">
        <f>'$$xSchpostCouncil 22'!DK61/'$$xSchpostCouncil 22'!DK$123</f>
        <v>0</v>
      </c>
      <c r="DL61" s="6">
        <v>3602</v>
      </c>
      <c r="DM61" s="6"/>
      <c r="DN61" s="43">
        <f>'$$xSchpostCouncil 22'!DN61/'$$xSchpostCouncil 22'!DN$123</f>
        <v>0</v>
      </c>
      <c r="DO61" s="6"/>
      <c r="DP61" s="6">
        <v>13750</v>
      </c>
      <c r="DU61" s="6">
        <f>VLOOKUP($A61,[3]Totals!$B$2:$K$119,10,FALSE)</f>
        <v>164548.37</v>
      </c>
      <c r="DV61" s="6">
        <f>VLOOKUP($A61,[3]Totals!$B$2:$K$119,9,FALSE)</f>
        <v>385228</v>
      </c>
    </row>
    <row r="62" spans="1:126" x14ac:dyDescent="0.2">
      <c r="A62" s="3">
        <v>370</v>
      </c>
      <c r="B62" s="2" t="s">
        <v>67</v>
      </c>
      <c r="C62" t="s">
        <v>7</v>
      </c>
      <c r="D62">
        <v>5</v>
      </c>
      <c r="E62" s="1">
        <v>317</v>
      </c>
      <c r="F62" s="4">
        <v>0.53300000000000003</v>
      </c>
      <c r="G62">
        <v>169</v>
      </c>
      <c r="H62" s="43">
        <f>'$$xSchpostCouncil 22'!H62/'$$xSchpostCouncil 22'!H$123</f>
        <v>1</v>
      </c>
      <c r="I62" s="43">
        <f>'$$xSchpostCouncil 22'!I62/'$$xSchpostCouncil 22'!I$123</f>
        <v>0</v>
      </c>
      <c r="J62" s="43">
        <f>'$$xSchpostCouncil 22'!J62/'$$xSchpostCouncil 22'!J$123</f>
        <v>0</v>
      </c>
      <c r="K62" s="43">
        <f>'$$xSchpostCouncil 22'!K62/'$$xSchpostCouncil 22'!K$123</f>
        <v>1</v>
      </c>
      <c r="L62" s="6">
        <v>5258</v>
      </c>
      <c r="M62" s="43">
        <f>'$$xSchpostCouncil 22'!M62/'$$xSchpostCouncil 22'!M$123</f>
        <v>1</v>
      </c>
      <c r="N62" s="43">
        <f>'$$xSchpostCouncil 22'!N62/'$$xSchpostCouncil 22'!N$123</f>
        <v>1</v>
      </c>
      <c r="O62" s="43">
        <f>'$$xSchpostCouncil 22'!O62/'$$xSchpostCouncil 22'!O$123</f>
        <v>2</v>
      </c>
      <c r="P62" s="43">
        <f>'$$xSchpostCouncil 22'!P62/'$$xSchpostCouncil 22'!P$123</f>
        <v>1</v>
      </c>
      <c r="Q62" s="43">
        <f>'$$xSchpostCouncil 22'!Q62/'$$xSchpostCouncil 22'!Q$123</f>
        <v>2</v>
      </c>
      <c r="R62" s="43">
        <f>'$$xSchpostCouncil 22'!R62/'$$xSchpostCouncil 22'!R$123</f>
        <v>1</v>
      </c>
      <c r="S62" s="43">
        <f>'$$xSchpostCouncil 22'!S62/'$$xSchpostCouncil 22'!S$123</f>
        <v>3</v>
      </c>
      <c r="T62" s="43">
        <f>'$$xSchpostCouncil 22'!T62/'$$xSchpostCouncil 22'!T$123</f>
        <v>6</v>
      </c>
      <c r="U62" s="6"/>
      <c r="V62" s="6"/>
      <c r="W62" s="6"/>
      <c r="X62" s="6"/>
      <c r="Y62" s="43">
        <f>'$$xSchpostCouncil 22'!Y62/'$$xSchpostCouncil 22'!Y$123</f>
        <v>0</v>
      </c>
      <c r="Z62" s="43">
        <f>'$$xSchpostCouncil 22'!Z62/'$$xSchpostCouncil 22'!Z$123</f>
        <v>0</v>
      </c>
      <c r="AA62" s="43">
        <f>'$$xSchpostCouncil 22'!AA62/'$$xSchpostCouncil 22'!AA$123</f>
        <v>0</v>
      </c>
      <c r="AB62" s="43">
        <f>'$$xSchpostCouncil 22'!AB62/'$$xSchpostCouncil 22'!AB$123</f>
        <v>0</v>
      </c>
      <c r="AC62" s="6"/>
      <c r="AD62" s="6">
        <v>134915</v>
      </c>
      <c r="AE62" s="43">
        <f>'$$xSchpostCouncil 22'!AE62/'$$xSchpostCouncil 22'!AE$123</f>
        <v>1</v>
      </c>
      <c r="AF62" s="43">
        <f>'$$xSchpostCouncil 22'!AF62/'$$xSchpostCouncil 22'!AF$123</f>
        <v>4</v>
      </c>
      <c r="AG62" s="43">
        <f>'$$xSchpostCouncil 22'!AG62/'$$xSchpostCouncil 22'!AG$123</f>
        <v>9</v>
      </c>
      <c r="AH62" s="43">
        <f>'$$xSchpostCouncil 22'!AH62/'$$xSchpostCouncil 22'!AH$123</f>
        <v>0</v>
      </c>
      <c r="AI62" s="43">
        <f>'$$xSchpostCouncil 22'!AI62/'$$xSchpostCouncil 22'!AI$123</f>
        <v>8</v>
      </c>
      <c r="AJ62" s="43"/>
      <c r="AK62" s="43">
        <f>'$$xSchpostCouncil 22'!AK62/'$$xSchpostCouncil 22'!AK$123</f>
        <v>2</v>
      </c>
      <c r="AL62" s="43">
        <f>'$$xSchpostCouncil 22'!AL62/'$$xSchpostCouncil 22'!AL$123</f>
        <v>0</v>
      </c>
      <c r="AM62" s="6"/>
      <c r="AN62" s="6"/>
      <c r="AO62" s="43">
        <f>'$$xSchpostCouncil 22'!AO62/'$$xSchpostCouncil 22'!AO$123</f>
        <v>2</v>
      </c>
      <c r="AP62" s="43">
        <f>'$$xSchpostCouncil 22'!AP62/'$$xSchpostCouncil 22'!AP$123</f>
        <v>0</v>
      </c>
      <c r="AQ62" s="43">
        <f>'$$xSchpostCouncil 22'!AQ62/'$$xSchpostCouncil 22'!AQ$123</f>
        <v>0</v>
      </c>
      <c r="AR62" s="6"/>
      <c r="AS62" s="6">
        <f>27200-13600</f>
        <v>13600</v>
      </c>
      <c r="AT62" s="6">
        <f>27200-13600</f>
        <v>13600</v>
      </c>
      <c r="AU62" s="6">
        <v>10200</v>
      </c>
      <c r="AV62" s="6"/>
      <c r="AW62" s="6">
        <v>27200</v>
      </c>
      <c r="AX62" s="6"/>
      <c r="AY62" s="6"/>
      <c r="AZ62" s="6">
        <v>250390.44500000001</v>
      </c>
      <c r="BA62" s="6"/>
      <c r="BB62" s="6"/>
      <c r="BC62" s="43">
        <f>'$$xSchpostCouncil 22'!BC62/'$$xSchpostCouncil 22'!BC$123</f>
        <v>1</v>
      </c>
      <c r="BD62" s="43">
        <f>'$$xSchpostCouncil 22'!BD62/'$$xSchpostCouncil 22'!BD$123</f>
        <v>0</v>
      </c>
      <c r="BE62" s="6"/>
      <c r="BF62" s="6"/>
      <c r="BG62" s="6"/>
      <c r="BH62" s="43">
        <f>'$$xSchpostCouncil 22'!BH62/'$$xSchpostCouncil 22'!BH$123</f>
        <v>0</v>
      </c>
      <c r="BI62" s="6"/>
      <c r="BJ62" s="43">
        <f>'$$xSchpostCouncil 22'!BJ62/'$$xSchpostCouncil 22'!BJ$123</f>
        <v>0</v>
      </c>
      <c r="BK62" s="6"/>
      <c r="BL62" s="43">
        <f>'$$xSchpostCouncil 22'!BL62/'$$xSchpostCouncil 22'!BL$123</f>
        <v>0</v>
      </c>
      <c r="BM62" s="6"/>
      <c r="BN62" s="43">
        <f>'$$xSchpostCouncil 22'!BN62/'$$xSchpostCouncil 22'!BN$123</f>
        <v>0</v>
      </c>
      <c r="BO62" s="43">
        <f>'$$xSchpostCouncil 22'!BO62/'$$xSchpostCouncil 22'!BO$123</f>
        <v>0</v>
      </c>
      <c r="BP62" s="6"/>
      <c r="BQ62" s="6"/>
      <c r="BR62" s="6"/>
      <c r="BS62" s="6"/>
      <c r="BT62" s="6"/>
      <c r="BU62" s="43">
        <f>'$$xSchpostCouncil 22'!BU62/'$$xSchpostCouncil 22'!BU$123</f>
        <v>0</v>
      </c>
      <c r="BV62" s="43">
        <f>'$$xSchpostCouncil 22'!BV62/'$$xSchpostCouncil 22'!BV$123</f>
        <v>0</v>
      </c>
      <c r="BW62" s="43">
        <f>'$$xSchpostCouncil 22'!BW62/'$$xSchpostCouncil 22'!BW$123</f>
        <v>0</v>
      </c>
      <c r="BX62" s="6">
        <v>427827</v>
      </c>
      <c r="BY62" s="6"/>
      <c r="BZ62" s="6"/>
      <c r="CA62" s="6"/>
      <c r="CB62" s="6"/>
      <c r="CC62" s="6"/>
      <c r="CD62" s="6"/>
      <c r="CE62" s="6"/>
      <c r="CF62" s="6">
        <v>0</v>
      </c>
      <c r="CI62" s="43">
        <f>'$$xSchpostCouncil 22'!CI62/'$$xSchpostCouncil 22'!CI$123</f>
        <v>1</v>
      </c>
      <c r="CJ62" s="43">
        <f>'$$xSchpostCouncil 22'!CJ62/'$$xSchpostCouncil 22'!CJ$123</f>
        <v>0.79999872228149416</v>
      </c>
      <c r="CK62" s="43">
        <f>'$$xSchpostCouncil 22'!CK62/'$$xSchpostCouncil 22'!CK$123</f>
        <v>1</v>
      </c>
      <c r="CL62" s="43">
        <f>'$$xSchpostCouncil 22'!CL62/'$$xSchpostCouncil 22'!CL$123</f>
        <v>0</v>
      </c>
      <c r="CM62" s="43">
        <f>'$$xSchpostCouncil 22'!CM62/'$$xSchpostCouncil 22'!CM$123</f>
        <v>0</v>
      </c>
      <c r="CN62" s="43">
        <f>'$$xSchpostCouncil 22'!CN62/'$$xSchpostCouncil 22'!CN$123</f>
        <v>0</v>
      </c>
      <c r="CO62" s="43">
        <f>'$$xSchpostCouncil 22'!CO62/'$$xSchpostCouncil 22'!CO$123</f>
        <v>3</v>
      </c>
      <c r="CP62" s="43">
        <f>'$$xSchpostCouncil 22'!CP62/'$$xSchpostCouncil 22'!CP$123</f>
        <v>2</v>
      </c>
      <c r="CQ62" s="43">
        <f>'$$xSchpostCouncil 22'!CQ62/'$$xSchpostCouncil 22'!CQ$123</f>
        <v>10</v>
      </c>
      <c r="CR62" s="43">
        <f>'$$xSchpostCouncil 22'!CR62/'$$xSchpostCouncil 22'!CR$123</f>
        <v>0</v>
      </c>
      <c r="CS62" s="6"/>
      <c r="CT62" s="6"/>
      <c r="CU62" s="6"/>
      <c r="CV62" s="43">
        <f>'$$xSchpostCouncil 22'!CV62/'$$xSchpostCouncil 22'!CV$123</f>
        <v>0</v>
      </c>
      <c r="CW62" s="43">
        <f>'$$xSchpostCouncil 22'!CW62/'$$xSchpostCouncil 22'!CW$123</f>
        <v>0</v>
      </c>
      <c r="CX62" s="6">
        <v>0</v>
      </c>
      <c r="CY62" s="6"/>
      <c r="CZ62" s="6"/>
      <c r="DB62" s="43">
        <f>'$$xSchpostCouncil 22'!DB62/'$$xSchpostCouncil 22'!DB$123</f>
        <v>0</v>
      </c>
      <c r="DC62" s="43">
        <f>'$$xSchpostCouncil 22'!DC62/'$$xSchpostCouncil 22'!DC$123</f>
        <v>0</v>
      </c>
      <c r="DF62" s="43">
        <f>'$$xSchpostCouncil 22'!DF62/'$$xSchpostCouncil 22'!DF$123</f>
        <v>0</v>
      </c>
      <c r="DG62" s="43">
        <f>'$$xSchpostCouncil 22'!DG62/'$$xSchpostCouncil 22'!DG$123</f>
        <v>0</v>
      </c>
      <c r="DH62" s="43">
        <f>'$$xSchpostCouncil 22'!DH62/'$$xSchpostCouncil 22'!DH$123</f>
        <v>0</v>
      </c>
      <c r="DI62" s="43">
        <f>'$$xSchpostCouncil 22'!DI62/'$$xSchpostCouncil 22'!DI$123</f>
        <v>0</v>
      </c>
      <c r="DJ62" s="43">
        <f>'$$xSchpostCouncil 22'!DJ62/'$$xSchpostCouncil 22'!DJ$123</f>
        <v>0</v>
      </c>
      <c r="DK62" s="43">
        <f>'$$xSchpostCouncil 22'!DK62/'$$xSchpostCouncil 22'!DK$123</f>
        <v>0</v>
      </c>
      <c r="DL62" s="6">
        <v>3375</v>
      </c>
      <c r="DM62" s="6"/>
      <c r="DN62" s="43">
        <f>'$$xSchpostCouncil 22'!DN62/'$$xSchpostCouncil 22'!DN$123</f>
        <v>0</v>
      </c>
      <c r="DO62" s="6"/>
      <c r="DP62" s="6">
        <v>16900</v>
      </c>
      <c r="DU62" s="6">
        <f>VLOOKUP($A62,[3]Totals!$B$2:$K$119,10,FALSE)</f>
        <v>183831.97</v>
      </c>
      <c r="DV62" s="6">
        <f>VLOOKUP($A62,[3]Totals!$B$2:$K$119,9,FALSE)</f>
        <v>114138</v>
      </c>
    </row>
    <row r="63" spans="1:126" x14ac:dyDescent="0.2">
      <c r="A63" s="3">
        <v>264</v>
      </c>
      <c r="B63" s="2" t="s">
        <v>66</v>
      </c>
      <c r="C63" t="s">
        <v>4</v>
      </c>
      <c r="D63">
        <v>4</v>
      </c>
      <c r="E63" s="1">
        <v>252</v>
      </c>
      <c r="F63" s="4">
        <v>0.47599999999999998</v>
      </c>
      <c r="G63">
        <v>120</v>
      </c>
      <c r="H63" s="43">
        <f>'$$xSchpostCouncil 22'!H63/'$$xSchpostCouncil 22'!H$123</f>
        <v>1</v>
      </c>
      <c r="I63" s="43">
        <f>'$$xSchpostCouncil 22'!I63/'$$xSchpostCouncil 22'!I$123</f>
        <v>0</v>
      </c>
      <c r="J63" s="43">
        <f>'$$xSchpostCouncil 22'!J63/'$$xSchpostCouncil 22'!J$123</f>
        <v>0</v>
      </c>
      <c r="K63" s="43">
        <f>'$$xSchpostCouncil 22'!K63/'$$xSchpostCouncil 22'!K$123</f>
        <v>1</v>
      </c>
      <c r="L63" s="6">
        <v>4441</v>
      </c>
      <c r="M63" s="43">
        <f>'$$xSchpostCouncil 22'!M63/'$$xSchpostCouncil 22'!M$123</f>
        <v>1</v>
      </c>
      <c r="N63" s="43">
        <f>'$$xSchpostCouncil 22'!N63/'$$xSchpostCouncil 22'!N$123</f>
        <v>1</v>
      </c>
      <c r="O63" s="43">
        <f>'$$xSchpostCouncil 22'!O63/'$$xSchpostCouncil 22'!O$123</f>
        <v>1</v>
      </c>
      <c r="P63" s="43">
        <f>'$$xSchpostCouncil 22'!P63/'$$xSchpostCouncil 22'!P$123</f>
        <v>1.0000006218408266</v>
      </c>
      <c r="Q63" s="43">
        <f>'$$xSchpostCouncil 22'!Q63/'$$xSchpostCouncil 22'!Q$123</f>
        <v>1</v>
      </c>
      <c r="R63" s="43">
        <f>'$$xSchpostCouncil 22'!R63/'$$xSchpostCouncil 22'!R$123</f>
        <v>2</v>
      </c>
      <c r="S63" s="43">
        <f>'$$xSchpostCouncil 22'!S63/'$$xSchpostCouncil 22'!S$123</f>
        <v>1</v>
      </c>
      <c r="T63" s="43">
        <f>'$$xSchpostCouncil 22'!T63/'$$xSchpostCouncil 22'!T$123</f>
        <v>4</v>
      </c>
      <c r="U63" s="6"/>
      <c r="V63" s="6"/>
      <c r="W63" s="6"/>
      <c r="X63" s="6"/>
      <c r="Y63" s="43">
        <f>'$$xSchpostCouncil 22'!Y63/'$$xSchpostCouncil 22'!Y$123</f>
        <v>0</v>
      </c>
      <c r="Z63" s="43">
        <f>'$$xSchpostCouncil 22'!Z63/'$$xSchpostCouncil 22'!Z$123</f>
        <v>0</v>
      </c>
      <c r="AA63" s="43">
        <f>'$$xSchpostCouncil 22'!AA63/'$$xSchpostCouncil 22'!AA$123</f>
        <v>0</v>
      </c>
      <c r="AB63" s="43">
        <f>'$$xSchpostCouncil 22'!AB63/'$$xSchpostCouncil 22'!AB$123</f>
        <v>0</v>
      </c>
      <c r="AC63" s="6"/>
      <c r="AD63" s="6">
        <v>120045</v>
      </c>
      <c r="AE63" s="43">
        <f>'$$xSchpostCouncil 22'!AE63/'$$xSchpostCouncil 22'!AE$123</f>
        <v>1</v>
      </c>
      <c r="AF63" s="43">
        <f>'$$xSchpostCouncil 22'!AF63/'$$xSchpostCouncil 22'!AF$123</f>
        <v>3</v>
      </c>
      <c r="AG63" s="43">
        <f>'$$xSchpostCouncil 22'!AG63/'$$xSchpostCouncil 22'!AG$123</f>
        <v>6</v>
      </c>
      <c r="AH63" s="43">
        <f>'$$xSchpostCouncil 22'!AH63/'$$xSchpostCouncil 22'!AH$123</f>
        <v>0</v>
      </c>
      <c r="AI63" s="43">
        <f>'$$xSchpostCouncil 22'!AI63/'$$xSchpostCouncil 22'!AI$123</f>
        <v>2</v>
      </c>
      <c r="AJ63" s="43"/>
      <c r="AK63" s="43">
        <f>'$$xSchpostCouncil 22'!AK63/'$$xSchpostCouncil 22'!AK$123</f>
        <v>2</v>
      </c>
      <c r="AL63" s="43">
        <f>'$$xSchpostCouncil 22'!AL63/'$$xSchpostCouncil 22'!AL$123</f>
        <v>0</v>
      </c>
      <c r="AM63" s="6"/>
      <c r="AN63" s="6"/>
      <c r="AO63" s="43">
        <f>'$$xSchpostCouncil 22'!AO63/'$$xSchpostCouncil 22'!AO$123</f>
        <v>7</v>
      </c>
      <c r="AP63" s="43">
        <f>'$$xSchpostCouncil 22'!AP63/'$$xSchpostCouncil 22'!AP$123</f>
        <v>0</v>
      </c>
      <c r="AQ63" s="43">
        <f>'$$xSchpostCouncil 22'!AQ63/'$$xSchpostCouncil 22'!AQ$123</f>
        <v>0</v>
      </c>
      <c r="AR63" s="6"/>
      <c r="AS63" s="6">
        <f>34000-20400</f>
        <v>13600</v>
      </c>
      <c r="AT63" s="6">
        <f>34000-20400</f>
        <v>13600</v>
      </c>
      <c r="AU63" s="6">
        <v>10200</v>
      </c>
      <c r="AV63" s="6"/>
      <c r="AW63" s="6">
        <v>40800</v>
      </c>
      <c r="AX63" s="6"/>
      <c r="AY63" s="6"/>
      <c r="AZ63" s="6">
        <v>114263.54000000001</v>
      </c>
      <c r="BA63" s="6"/>
      <c r="BB63" s="6"/>
      <c r="BC63" s="43">
        <f>'$$xSchpostCouncil 22'!BC63/'$$xSchpostCouncil 22'!BC$123</f>
        <v>0</v>
      </c>
      <c r="BD63" s="43">
        <f>'$$xSchpostCouncil 22'!BD63/'$$xSchpostCouncil 22'!BD$123</f>
        <v>0</v>
      </c>
      <c r="BE63" s="6"/>
      <c r="BF63" s="6"/>
      <c r="BG63" s="6"/>
      <c r="BH63" s="43">
        <f>'$$xSchpostCouncil 22'!BH63/'$$xSchpostCouncil 22'!BH$123</f>
        <v>0</v>
      </c>
      <c r="BI63" s="6"/>
      <c r="BJ63" s="43">
        <f>'$$xSchpostCouncil 22'!BJ63/'$$xSchpostCouncil 22'!BJ$123</f>
        <v>0</v>
      </c>
      <c r="BK63" s="6"/>
      <c r="BL63" s="43">
        <f>'$$xSchpostCouncil 22'!BL63/'$$xSchpostCouncil 22'!BL$123</f>
        <v>0</v>
      </c>
      <c r="BM63" s="6"/>
      <c r="BN63" s="43">
        <f>'$$xSchpostCouncil 22'!BN63/'$$xSchpostCouncil 22'!BN$123</f>
        <v>0</v>
      </c>
      <c r="BO63" s="43">
        <f>'$$xSchpostCouncil 22'!BO63/'$$xSchpostCouncil 22'!BO$123</f>
        <v>0</v>
      </c>
      <c r="BP63" s="6"/>
      <c r="BQ63" s="6"/>
      <c r="BR63" s="6"/>
      <c r="BS63" s="6"/>
      <c r="BT63" s="6"/>
      <c r="BU63" s="43">
        <f>'$$xSchpostCouncil 22'!BU63/'$$xSchpostCouncil 22'!BU$123</f>
        <v>0</v>
      </c>
      <c r="BV63" s="43">
        <f>'$$xSchpostCouncil 22'!BV63/'$$xSchpostCouncil 22'!BV$123</f>
        <v>0</v>
      </c>
      <c r="BW63" s="43">
        <f>'$$xSchpostCouncil 22'!BW63/'$$xSchpostCouncil 22'!BW$123</f>
        <v>0</v>
      </c>
      <c r="BX63" s="6">
        <v>303782</v>
      </c>
      <c r="BY63" s="6"/>
      <c r="BZ63" s="6"/>
      <c r="CA63" s="6"/>
      <c r="CB63" s="6"/>
      <c r="CC63" s="6">
        <v>1190574</v>
      </c>
      <c r="CD63" s="6"/>
      <c r="CE63" s="6"/>
      <c r="CF63" s="6">
        <v>0</v>
      </c>
      <c r="CI63" s="43">
        <f>'$$xSchpostCouncil 22'!CI63/'$$xSchpostCouncil 22'!CI$123</f>
        <v>1</v>
      </c>
      <c r="CJ63" s="43">
        <f>'$$xSchpostCouncil 22'!CJ63/'$$xSchpostCouncil 22'!CJ$123</f>
        <v>0</v>
      </c>
      <c r="CK63" s="43">
        <f>'$$xSchpostCouncil 22'!CK63/'$$xSchpostCouncil 22'!CK$123</f>
        <v>0.50000550182110282</v>
      </c>
      <c r="CL63" s="43">
        <f>'$$xSchpostCouncil 22'!CL63/'$$xSchpostCouncil 22'!CL$123</f>
        <v>0</v>
      </c>
      <c r="CM63" s="43">
        <f>'$$xSchpostCouncil 22'!CM63/'$$xSchpostCouncil 22'!CM$123</f>
        <v>0</v>
      </c>
      <c r="CN63" s="43">
        <f>'$$xSchpostCouncil 22'!CN63/'$$xSchpostCouncil 22'!CN$123</f>
        <v>0</v>
      </c>
      <c r="CO63" s="43">
        <f>'$$xSchpostCouncil 22'!CO63/'$$xSchpostCouncil 22'!CO$123</f>
        <v>3</v>
      </c>
      <c r="CP63" s="43">
        <f>'$$xSchpostCouncil 22'!CP63/'$$xSchpostCouncil 22'!CP$123</f>
        <v>2</v>
      </c>
      <c r="CQ63" s="43">
        <f>'$$xSchpostCouncil 22'!CQ63/'$$xSchpostCouncil 22'!CQ$123</f>
        <v>12</v>
      </c>
      <c r="CR63" s="43">
        <f>'$$xSchpostCouncil 22'!CR63/'$$xSchpostCouncil 22'!CR$123</f>
        <v>0</v>
      </c>
      <c r="CS63" s="6"/>
      <c r="CT63" s="6"/>
      <c r="CU63" s="6"/>
      <c r="CV63" s="43">
        <f>'$$xSchpostCouncil 22'!CV63/'$$xSchpostCouncil 22'!CV$123</f>
        <v>0</v>
      </c>
      <c r="CW63" s="43">
        <f>'$$xSchpostCouncil 22'!CW63/'$$xSchpostCouncil 22'!CW$123</f>
        <v>0</v>
      </c>
      <c r="CX63" s="6">
        <v>0</v>
      </c>
      <c r="CY63" s="6"/>
      <c r="CZ63" s="6"/>
      <c r="DB63" s="43">
        <f>'$$xSchpostCouncil 22'!DB63/'$$xSchpostCouncil 22'!DB$123</f>
        <v>1</v>
      </c>
      <c r="DC63" s="43">
        <f>'$$xSchpostCouncil 22'!DC63/'$$xSchpostCouncil 22'!DC$123</f>
        <v>0</v>
      </c>
      <c r="DF63" s="43">
        <f>'$$xSchpostCouncil 22'!DF63/'$$xSchpostCouncil 22'!DF$123</f>
        <v>0</v>
      </c>
      <c r="DG63" s="43">
        <f>'$$xSchpostCouncil 22'!DG63/'$$xSchpostCouncil 22'!DG$123</f>
        <v>0</v>
      </c>
      <c r="DH63" s="43">
        <f>'$$xSchpostCouncil 22'!DH63/'$$xSchpostCouncil 22'!DH$123</f>
        <v>0</v>
      </c>
      <c r="DI63" s="43">
        <f>'$$xSchpostCouncil 22'!DI63/'$$xSchpostCouncil 22'!DI$123</f>
        <v>0</v>
      </c>
      <c r="DJ63" s="43">
        <f>'$$xSchpostCouncil 22'!DJ63/'$$xSchpostCouncil 22'!DJ$123</f>
        <v>0</v>
      </c>
      <c r="DK63" s="43">
        <f>'$$xSchpostCouncil 22'!DK63/'$$xSchpostCouncil 22'!DK$123</f>
        <v>0</v>
      </c>
      <c r="DL63" s="6">
        <v>2407</v>
      </c>
      <c r="DM63" s="6"/>
      <c r="DN63" s="43">
        <f>'$$xSchpostCouncil 22'!DN63/'$$xSchpostCouncil 22'!DN$123</f>
        <v>0</v>
      </c>
      <c r="DO63" s="6"/>
      <c r="DP63" s="6">
        <v>24475</v>
      </c>
      <c r="DU63" s="6">
        <f>VLOOKUP($A63,[3]Totals!$B$2:$K$119,10,FALSE)</f>
        <v>86818.25</v>
      </c>
      <c r="DV63" s="6">
        <f>VLOOKUP($A63,[3]Totals!$B$2:$K$119,9,FALSE)</f>
        <v>295643</v>
      </c>
    </row>
    <row r="64" spans="1:126" x14ac:dyDescent="0.2">
      <c r="A64" s="3">
        <v>266</v>
      </c>
      <c r="B64" s="2" t="s">
        <v>65</v>
      </c>
      <c r="C64" t="s">
        <v>4</v>
      </c>
      <c r="D64">
        <v>8</v>
      </c>
      <c r="E64" s="1">
        <v>487</v>
      </c>
      <c r="F64" s="4">
        <v>0.52400000000000002</v>
      </c>
      <c r="G64">
        <v>255</v>
      </c>
      <c r="H64" s="43">
        <f>'$$xSchpostCouncil 22'!H64/'$$xSchpostCouncil 22'!H$123</f>
        <v>1</v>
      </c>
      <c r="I64" s="43">
        <f>'$$xSchpostCouncil 22'!I64/'$$xSchpostCouncil 22'!I$123</f>
        <v>1</v>
      </c>
      <c r="J64" s="43">
        <f>'$$xSchpostCouncil 22'!J64/'$$xSchpostCouncil 22'!J$123</f>
        <v>0</v>
      </c>
      <c r="K64" s="43">
        <f>'$$xSchpostCouncil 22'!K64/'$$xSchpostCouncil 22'!K$123</f>
        <v>1</v>
      </c>
      <c r="L64" s="6">
        <v>5185</v>
      </c>
      <c r="M64" s="43">
        <f>'$$xSchpostCouncil 22'!M64/'$$xSchpostCouncil 22'!M$123</f>
        <v>1</v>
      </c>
      <c r="N64" s="43">
        <f>'$$xSchpostCouncil 22'!N64/'$$xSchpostCouncil 22'!N$123</f>
        <v>1</v>
      </c>
      <c r="O64" s="43">
        <f>'$$xSchpostCouncil 22'!O64/'$$xSchpostCouncil 22'!O$123</f>
        <v>2</v>
      </c>
      <c r="P64" s="43">
        <f>'$$xSchpostCouncil 22'!P64/'$$xSchpostCouncil 22'!P$123</f>
        <v>1</v>
      </c>
      <c r="Q64" s="43">
        <f>'$$xSchpostCouncil 22'!Q64/'$$xSchpostCouncil 22'!Q$123</f>
        <v>3</v>
      </c>
      <c r="R64" s="43">
        <f>'$$xSchpostCouncil 22'!R64/'$$xSchpostCouncil 22'!R$123</f>
        <v>0</v>
      </c>
      <c r="S64" s="43">
        <f>'$$xSchpostCouncil 22'!S64/'$$xSchpostCouncil 22'!S$123</f>
        <v>3</v>
      </c>
      <c r="T64" s="43">
        <f>'$$xSchpostCouncil 22'!T64/'$$xSchpostCouncil 22'!T$123</f>
        <v>6</v>
      </c>
      <c r="U64" s="6"/>
      <c r="V64" s="6"/>
      <c r="W64" s="6"/>
      <c r="X64" s="6"/>
      <c r="Y64" s="43">
        <f>'$$xSchpostCouncil 22'!Y64/'$$xSchpostCouncil 22'!Y$123</f>
        <v>0</v>
      </c>
      <c r="Z64" s="43">
        <f>'$$xSchpostCouncil 22'!Z64/'$$xSchpostCouncil 22'!Z$123</f>
        <v>0</v>
      </c>
      <c r="AA64" s="43">
        <f>'$$xSchpostCouncil 22'!AA64/'$$xSchpostCouncil 22'!AA$123</f>
        <v>0</v>
      </c>
      <c r="AB64" s="43">
        <f>'$$xSchpostCouncil 22'!AB64/'$$xSchpostCouncil 22'!AB$123</f>
        <v>0</v>
      </c>
      <c r="AC64" s="6"/>
      <c r="AD64" s="6">
        <v>175957</v>
      </c>
      <c r="AE64" s="43">
        <f>'$$xSchpostCouncil 22'!AE64/'$$xSchpostCouncil 22'!AE$123</f>
        <v>1</v>
      </c>
      <c r="AF64" s="43">
        <f>'$$xSchpostCouncil 22'!AF64/'$$xSchpostCouncil 22'!AF$123</f>
        <v>2</v>
      </c>
      <c r="AG64" s="43">
        <f>'$$xSchpostCouncil 22'!AG64/'$$xSchpostCouncil 22'!AG$123</f>
        <v>8</v>
      </c>
      <c r="AH64" s="43">
        <f>'$$xSchpostCouncil 22'!AH64/'$$xSchpostCouncil 22'!AH$123</f>
        <v>0</v>
      </c>
      <c r="AI64" s="43">
        <f>'$$xSchpostCouncil 22'!AI64/'$$xSchpostCouncil 22'!AI$123</f>
        <v>2</v>
      </c>
      <c r="AJ64" s="43"/>
      <c r="AK64" s="43">
        <f>'$$xSchpostCouncil 22'!AK64/'$$xSchpostCouncil 22'!AK$123</f>
        <v>0</v>
      </c>
      <c r="AL64" s="43">
        <f>'$$xSchpostCouncil 22'!AL64/'$$xSchpostCouncil 22'!AL$123</f>
        <v>0</v>
      </c>
      <c r="AM64" s="6"/>
      <c r="AN64" s="6"/>
      <c r="AO64" s="43">
        <f>'$$xSchpostCouncil 22'!AO64/'$$xSchpostCouncil 22'!AO$123</f>
        <v>1</v>
      </c>
      <c r="AP64" s="43">
        <f>'$$xSchpostCouncil 22'!AP64/'$$xSchpostCouncil 22'!AP$123</f>
        <v>0</v>
      </c>
      <c r="AQ64" s="43">
        <f>'$$xSchpostCouncil 22'!AQ64/'$$xSchpostCouncil 22'!AQ$123</f>
        <v>0</v>
      </c>
      <c r="AR64" s="6"/>
      <c r="AS64" s="6">
        <f>54400-27200</f>
        <v>27200</v>
      </c>
      <c r="AT64" s="6">
        <f>54400-27200</f>
        <v>27200</v>
      </c>
      <c r="AU64" s="6">
        <v>10200</v>
      </c>
      <c r="AV64" s="6"/>
      <c r="AW64" s="6">
        <v>54400</v>
      </c>
      <c r="AX64" s="6"/>
      <c r="AY64" s="6"/>
      <c r="AZ64" s="6">
        <v>220820.83000000002</v>
      </c>
      <c r="BA64" s="6"/>
      <c r="BB64" s="6"/>
      <c r="BC64" s="43">
        <f>'$$xSchpostCouncil 22'!BC64/'$$xSchpostCouncil 22'!BC$123</f>
        <v>0</v>
      </c>
      <c r="BD64" s="43">
        <f>'$$xSchpostCouncil 22'!BD64/'$$xSchpostCouncil 22'!BD$123</f>
        <v>0</v>
      </c>
      <c r="BE64" s="6"/>
      <c r="BF64" s="6"/>
      <c r="BG64" s="6"/>
      <c r="BH64" s="43">
        <f>'$$xSchpostCouncil 22'!BH64/'$$xSchpostCouncil 22'!BH$123</f>
        <v>0</v>
      </c>
      <c r="BI64" s="6"/>
      <c r="BJ64" s="43">
        <f>'$$xSchpostCouncil 22'!BJ64/'$$xSchpostCouncil 22'!BJ$123</f>
        <v>0</v>
      </c>
      <c r="BK64" s="6"/>
      <c r="BL64" s="43">
        <f>'$$xSchpostCouncil 22'!BL64/'$$xSchpostCouncil 22'!BL$123</f>
        <v>0</v>
      </c>
      <c r="BM64" s="6"/>
      <c r="BN64" s="43">
        <f>'$$xSchpostCouncil 22'!BN64/'$$xSchpostCouncil 22'!BN$123</f>
        <v>0</v>
      </c>
      <c r="BO64" s="43">
        <f>'$$xSchpostCouncil 22'!BO64/'$$xSchpostCouncil 22'!BO$123</f>
        <v>0</v>
      </c>
      <c r="BP64" s="6"/>
      <c r="BQ64" s="6"/>
      <c r="BR64" s="6"/>
      <c r="BS64" s="6"/>
      <c r="BT64" s="6"/>
      <c r="BU64" s="43">
        <f>'$$xSchpostCouncil 22'!BU64/'$$xSchpostCouncil 22'!BU$123</f>
        <v>0</v>
      </c>
      <c r="BV64" s="43">
        <f>'$$xSchpostCouncil 22'!BV64/'$$xSchpostCouncil 22'!BV$123</f>
        <v>0</v>
      </c>
      <c r="BW64" s="43">
        <f>'$$xSchpostCouncil 22'!BW64/'$$xSchpostCouncil 22'!BW$123</f>
        <v>0</v>
      </c>
      <c r="BX64" s="6">
        <v>645538</v>
      </c>
      <c r="BY64" s="6"/>
      <c r="BZ64" s="6"/>
      <c r="CA64" s="6"/>
      <c r="CB64" s="6"/>
      <c r="CC64" s="6">
        <v>13714</v>
      </c>
      <c r="CD64" s="6"/>
      <c r="CE64" s="6"/>
      <c r="CF64" s="6">
        <v>156529</v>
      </c>
      <c r="CI64" s="43">
        <f>'$$xSchpostCouncil 22'!CI64/'$$xSchpostCouncil 22'!CI$123</f>
        <v>1</v>
      </c>
      <c r="CJ64" s="43">
        <f>'$$xSchpostCouncil 22'!CJ64/'$$xSchpostCouncil 22'!CJ$123</f>
        <v>1.3000019165777588</v>
      </c>
      <c r="CK64" s="43">
        <f>'$$xSchpostCouncil 22'!CK64/'$$xSchpostCouncil 22'!CK$123</f>
        <v>1</v>
      </c>
      <c r="CL64" s="43">
        <f>'$$xSchpostCouncil 22'!CL64/'$$xSchpostCouncil 22'!CL$123</f>
        <v>1.2000039495250696</v>
      </c>
      <c r="CM64" s="43">
        <f>'$$xSchpostCouncil 22'!CM64/'$$xSchpostCouncil 22'!CM$123</f>
        <v>0</v>
      </c>
      <c r="CN64" s="43">
        <f>'$$xSchpostCouncil 22'!CN64/'$$xSchpostCouncil 22'!CN$123</f>
        <v>0</v>
      </c>
      <c r="CO64" s="43">
        <f>'$$xSchpostCouncil 22'!CO64/'$$xSchpostCouncil 22'!CO$123</f>
        <v>3</v>
      </c>
      <c r="CP64" s="43">
        <f>'$$xSchpostCouncil 22'!CP64/'$$xSchpostCouncil 22'!CP$123</f>
        <v>3</v>
      </c>
      <c r="CQ64" s="43">
        <f>'$$xSchpostCouncil 22'!CQ64/'$$xSchpostCouncil 22'!CQ$123</f>
        <v>19.599996446623848</v>
      </c>
      <c r="CR64" s="43">
        <f>'$$xSchpostCouncil 22'!CR64/'$$xSchpostCouncil 22'!CR$123</f>
        <v>2</v>
      </c>
      <c r="CS64" s="6">
        <v>23000</v>
      </c>
      <c r="CT64" s="6"/>
      <c r="CU64" s="6">
        <v>100000</v>
      </c>
      <c r="CV64" s="43">
        <f>'$$xSchpostCouncil 22'!CV64/'$$xSchpostCouncil 22'!CV$123</f>
        <v>0</v>
      </c>
      <c r="CW64" s="43">
        <f>'$$xSchpostCouncil 22'!CW64/'$$xSchpostCouncil 22'!CW$123</f>
        <v>0</v>
      </c>
      <c r="CX64" s="6">
        <v>0</v>
      </c>
      <c r="CY64" s="6"/>
      <c r="CZ64" s="6"/>
      <c r="DB64" s="43">
        <f>'$$xSchpostCouncil 22'!DB64/'$$xSchpostCouncil 22'!DB$123</f>
        <v>0</v>
      </c>
      <c r="DC64" s="43">
        <f>'$$xSchpostCouncil 22'!DC64/'$$xSchpostCouncil 22'!DC$123</f>
        <v>0</v>
      </c>
      <c r="DF64" s="43">
        <f>'$$xSchpostCouncil 22'!DF64/'$$xSchpostCouncil 22'!DF$123</f>
        <v>0</v>
      </c>
      <c r="DG64" s="43">
        <f>'$$xSchpostCouncil 22'!DG64/'$$xSchpostCouncil 22'!DG$123</f>
        <v>0</v>
      </c>
      <c r="DH64" s="43">
        <f>'$$xSchpostCouncil 22'!DH64/'$$xSchpostCouncil 22'!DH$123</f>
        <v>0</v>
      </c>
      <c r="DI64" s="43">
        <f>'$$xSchpostCouncil 22'!DI64/'$$xSchpostCouncil 22'!DI$123</f>
        <v>0</v>
      </c>
      <c r="DJ64" s="43">
        <f>'$$xSchpostCouncil 22'!DJ64/'$$xSchpostCouncil 22'!DJ$123</f>
        <v>0</v>
      </c>
      <c r="DK64" s="43">
        <f>'$$xSchpostCouncil 22'!DK64/'$$xSchpostCouncil 22'!DK$123</f>
        <v>0</v>
      </c>
      <c r="DL64" s="6">
        <v>5105</v>
      </c>
      <c r="DM64" s="6"/>
      <c r="DN64" s="43">
        <f>'$$xSchpostCouncil 22'!DN64/'$$xSchpostCouncil 22'!DN$123</f>
        <v>0</v>
      </c>
      <c r="DO64" s="6"/>
      <c r="DP64" s="6">
        <v>44625</v>
      </c>
      <c r="DU64" s="6">
        <f>VLOOKUP($A64,[3]Totals!$B$2:$K$119,10,FALSE)</f>
        <v>157992.4</v>
      </c>
      <c r="DV64" s="6">
        <f>VLOOKUP($A64,[3]Totals!$B$2:$K$119,9,FALSE)</f>
        <v>90879</v>
      </c>
    </row>
    <row r="65" spans="1:126" x14ac:dyDescent="0.2">
      <c r="A65" s="3">
        <v>271</v>
      </c>
      <c r="B65" s="2" t="s">
        <v>64</v>
      </c>
      <c r="C65" t="s">
        <v>7</v>
      </c>
      <c r="D65">
        <v>6</v>
      </c>
      <c r="E65" s="1">
        <v>449</v>
      </c>
      <c r="F65" s="4">
        <v>0.23799999999999999</v>
      </c>
      <c r="G65">
        <v>107</v>
      </c>
      <c r="H65" s="43">
        <f>'$$xSchpostCouncil 22'!H65/'$$xSchpostCouncil 22'!H$123</f>
        <v>1</v>
      </c>
      <c r="I65" s="43">
        <f>'$$xSchpostCouncil 22'!I65/'$$xSchpostCouncil 22'!I$123</f>
        <v>0</v>
      </c>
      <c r="J65" s="43">
        <f>'$$xSchpostCouncil 22'!J65/'$$xSchpostCouncil 22'!J$123</f>
        <v>0</v>
      </c>
      <c r="K65" s="43">
        <f>'$$xSchpostCouncil 22'!K65/'$$xSchpostCouncil 22'!K$123</f>
        <v>1</v>
      </c>
      <c r="L65" s="6">
        <v>5502</v>
      </c>
      <c r="M65" s="43">
        <f>'$$xSchpostCouncil 22'!M65/'$$xSchpostCouncil 22'!M$123</f>
        <v>1</v>
      </c>
      <c r="N65" s="43">
        <f>'$$xSchpostCouncil 22'!N65/'$$xSchpostCouncil 22'!N$123</f>
        <v>1</v>
      </c>
      <c r="O65" s="43">
        <f>'$$xSchpostCouncil 22'!O65/'$$xSchpostCouncil 22'!O$123</f>
        <v>2</v>
      </c>
      <c r="P65" s="43">
        <f>'$$xSchpostCouncil 22'!P65/'$$xSchpostCouncil 22'!P$123</f>
        <v>1</v>
      </c>
      <c r="Q65" s="43">
        <f>'$$xSchpostCouncil 22'!Q65/'$$xSchpostCouncil 22'!Q$123</f>
        <v>3</v>
      </c>
      <c r="R65" s="43">
        <f>'$$xSchpostCouncil 22'!R65/'$$xSchpostCouncil 22'!R$123</f>
        <v>0</v>
      </c>
      <c r="S65" s="43">
        <f>'$$xSchpostCouncil 22'!S65/'$$xSchpostCouncil 22'!S$123</f>
        <v>3</v>
      </c>
      <c r="T65" s="43">
        <f>'$$xSchpostCouncil 22'!T65/'$$xSchpostCouncil 22'!T$123</f>
        <v>6</v>
      </c>
      <c r="U65" s="6"/>
      <c r="V65" s="6"/>
      <c r="W65" s="6"/>
      <c r="X65" s="6"/>
      <c r="Y65" s="43">
        <f>'$$xSchpostCouncil 22'!Y65/'$$xSchpostCouncil 22'!Y$123</f>
        <v>0</v>
      </c>
      <c r="Z65" s="43">
        <f>'$$xSchpostCouncil 22'!Z65/'$$xSchpostCouncil 22'!Z$123</f>
        <v>0</v>
      </c>
      <c r="AA65" s="43">
        <f>'$$xSchpostCouncil 22'!AA65/'$$xSchpostCouncil 22'!AA$123</f>
        <v>0</v>
      </c>
      <c r="AB65" s="43">
        <f>'$$xSchpostCouncil 22'!AB65/'$$xSchpostCouncil 22'!AB$123</f>
        <v>0</v>
      </c>
      <c r="AC65" s="6"/>
      <c r="AD65" s="6">
        <v>159214</v>
      </c>
      <c r="AE65" s="43">
        <f>'$$xSchpostCouncil 22'!AE65/'$$xSchpostCouncil 22'!AE$123</f>
        <v>1</v>
      </c>
      <c r="AF65" s="43">
        <f>'$$xSchpostCouncil 22'!AF65/'$$xSchpostCouncil 22'!AF$123</f>
        <v>1</v>
      </c>
      <c r="AG65" s="43">
        <f>'$$xSchpostCouncil 22'!AG65/'$$xSchpostCouncil 22'!AG$123</f>
        <v>7</v>
      </c>
      <c r="AH65" s="43">
        <f>'$$xSchpostCouncil 22'!AH65/'$$xSchpostCouncil 22'!AH$123</f>
        <v>0</v>
      </c>
      <c r="AI65" s="43">
        <f>'$$xSchpostCouncil 22'!AI65/'$$xSchpostCouncil 22'!AI$123</f>
        <v>6</v>
      </c>
      <c r="AJ65" s="43"/>
      <c r="AK65" s="43">
        <f>'$$xSchpostCouncil 22'!AK65/'$$xSchpostCouncil 22'!AK$123</f>
        <v>0</v>
      </c>
      <c r="AL65" s="43">
        <f>'$$xSchpostCouncil 22'!AL65/'$$xSchpostCouncil 22'!AL$123</f>
        <v>0</v>
      </c>
      <c r="AM65" s="6"/>
      <c r="AN65" s="6"/>
      <c r="AO65" s="43">
        <f>'$$xSchpostCouncil 22'!AO65/'$$xSchpostCouncil 22'!AO$123</f>
        <v>1</v>
      </c>
      <c r="AP65" s="43">
        <f>'$$xSchpostCouncil 22'!AP65/'$$xSchpostCouncil 22'!AP$123</f>
        <v>0</v>
      </c>
      <c r="AQ65" s="43">
        <f>'$$xSchpostCouncil 22'!AQ65/'$$xSchpostCouncil 22'!AQ$123</f>
        <v>0</v>
      </c>
      <c r="AR65" s="6"/>
      <c r="AS65" s="6"/>
      <c r="AT65" s="6"/>
      <c r="AU65" s="6"/>
      <c r="AV65" s="6"/>
      <c r="AW65" s="6">
        <v>0</v>
      </c>
      <c r="AX65" s="6"/>
      <c r="AY65" s="6"/>
      <c r="AZ65" s="6">
        <v>0</v>
      </c>
      <c r="BA65" s="6"/>
      <c r="BB65" s="6">
        <v>11225</v>
      </c>
      <c r="BC65" s="43">
        <f>'$$xSchpostCouncil 22'!BC65/'$$xSchpostCouncil 22'!BC$123</f>
        <v>0</v>
      </c>
      <c r="BD65" s="43">
        <f>'$$xSchpostCouncil 22'!BD65/'$$xSchpostCouncil 22'!BD$123</f>
        <v>0</v>
      </c>
      <c r="BE65" s="6"/>
      <c r="BF65" s="6"/>
      <c r="BG65" s="6"/>
      <c r="BH65" s="43">
        <f>'$$xSchpostCouncil 22'!BH65/'$$xSchpostCouncil 22'!BH$123</f>
        <v>0</v>
      </c>
      <c r="BI65" s="6"/>
      <c r="BJ65" s="43">
        <f>'$$xSchpostCouncil 22'!BJ65/'$$xSchpostCouncil 22'!BJ$123</f>
        <v>0</v>
      </c>
      <c r="BK65" s="6"/>
      <c r="BL65" s="43">
        <f>'$$xSchpostCouncil 22'!BL65/'$$xSchpostCouncil 22'!BL$123</f>
        <v>0</v>
      </c>
      <c r="BM65" s="6"/>
      <c r="BN65" s="43">
        <f>'$$xSchpostCouncil 22'!BN65/'$$xSchpostCouncil 22'!BN$123</f>
        <v>0</v>
      </c>
      <c r="BO65" s="43">
        <f>'$$xSchpostCouncil 22'!BO65/'$$xSchpostCouncil 22'!BO$123</f>
        <v>0</v>
      </c>
      <c r="BP65" s="6"/>
      <c r="BQ65" s="6"/>
      <c r="BR65" s="6"/>
      <c r="BS65" s="6"/>
      <c r="BT65" s="6"/>
      <c r="BU65" s="43">
        <f>'$$xSchpostCouncil 22'!BU65/'$$xSchpostCouncil 22'!BU$123</f>
        <v>0</v>
      </c>
      <c r="BV65" s="43">
        <f>'$$xSchpostCouncil 22'!BV65/'$$xSchpostCouncil 22'!BV$123</f>
        <v>0</v>
      </c>
      <c r="BW65" s="43">
        <f>'$$xSchpostCouncil 22'!BW65/'$$xSchpostCouncil 22'!BW$123</f>
        <v>0</v>
      </c>
      <c r="BX65" s="6">
        <v>270872.92</v>
      </c>
      <c r="BY65" s="6"/>
      <c r="BZ65" s="6"/>
      <c r="CA65" s="6"/>
      <c r="CB65" s="6"/>
      <c r="CC65" s="6"/>
      <c r="CD65" s="6"/>
      <c r="CE65" s="6"/>
      <c r="CF65" s="6">
        <v>112570</v>
      </c>
      <c r="CI65" s="43">
        <f>'$$xSchpostCouncil 22'!CI65/'$$xSchpostCouncil 22'!CI$123</f>
        <v>1</v>
      </c>
      <c r="CJ65" s="43">
        <f>'$$xSchpostCouncil 22'!CJ65/'$$xSchpostCouncil 22'!CJ$123</f>
        <v>1.1000006388592529</v>
      </c>
      <c r="CK65" s="43">
        <f>'$$xSchpostCouncil 22'!CK65/'$$xSchpostCouncil 22'!CK$123</f>
        <v>1</v>
      </c>
      <c r="CL65" s="43">
        <f>'$$xSchpostCouncil 22'!CL65/'$$xSchpostCouncil 22'!CL$123</f>
        <v>1.1000019747625347</v>
      </c>
      <c r="CM65" s="43">
        <f>'$$xSchpostCouncil 22'!CM65/'$$xSchpostCouncil 22'!CM$123</f>
        <v>0</v>
      </c>
      <c r="CN65" s="43">
        <f>'$$xSchpostCouncil 22'!CN65/'$$xSchpostCouncil 22'!CN$123</f>
        <v>0</v>
      </c>
      <c r="CO65" s="43">
        <f>'$$xSchpostCouncil 22'!CO65/'$$xSchpostCouncil 22'!CO$123</f>
        <v>4.500004441720189</v>
      </c>
      <c r="CP65" s="43">
        <f>'$$xSchpostCouncil 22'!CP65/'$$xSchpostCouncil 22'!CP$123</f>
        <v>3</v>
      </c>
      <c r="CQ65" s="43">
        <f>'$$xSchpostCouncil 22'!CQ65/'$$xSchpostCouncil 22'!CQ$123</f>
        <v>18</v>
      </c>
      <c r="CR65" s="43">
        <f>'$$xSchpostCouncil 22'!CR65/'$$xSchpostCouncil 22'!CR$123</f>
        <v>0</v>
      </c>
      <c r="CS65" s="6"/>
      <c r="CT65" s="6"/>
      <c r="CU65" s="6"/>
      <c r="CV65" s="43">
        <f>'$$xSchpostCouncil 22'!CV65/'$$xSchpostCouncil 22'!CV$123</f>
        <v>0</v>
      </c>
      <c r="CW65" s="43">
        <f>'$$xSchpostCouncil 22'!CW65/'$$xSchpostCouncil 22'!CW$123</f>
        <v>0</v>
      </c>
      <c r="CX65" s="6">
        <v>0</v>
      </c>
      <c r="CY65" s="6"/>
      <c r="CZ65" s="6"/>
      <c r="DB65" s="43">
        <f>'$$xSchpostCouncil 22'!DB65/'$$xSchpostCouncil 22'!DB$123</f>
        <v>0</v>
      </c>
      <c r="DC65" s="43">
        <f>'$$xSchpostCouncil 22'!DC65/'$$xSchpostCouncil 22'!DC$123</f>
        <v>0</v>
      </c>
      <c r="DF65" s="43">
        <f>'$$xSchpostCouncil 22'!DF65/'$$xSchpostCouncil 22'!DF$123</f>
        <v>0</v>
      </c>
      <c r="DG65" s="43">
        <f>'$$xSchpostCouncil 22'!DG65/'$$xSchpostCouncil 22'!DG$123</f>
        <v>0</v>
      </c>
      <c r="DH65" s="43">
        <f>'$$xSchpostCouncil 22'!DH65/'$$xSchpostCouncil 22'!DH$123</f>
        <v>0</v>
      </c>
      <c r="DI65" s="43">
        <f>'$$xSchpostCouncil 22'!DI65/'$$xSchpostCouncil 22'!DI$123</f>
        <v>0</v>
      </c>
      <c r="DJ65" s="43">
        <f>'$$xSchpostCouncil 22'!DJ65/'$$xSchpostCouncil 22'!DJ$123</f>
        <v>0</v>
      </c>
      <c r="DK65" s="43">
        <f>'$$xSchpostCouncil 22'!DK65/'$$xSchpostCouncil 22'!DK$123</f>
        <v>0</v>
      </c>
      <c r="DL65" s="6"/>
      <c r="DM65" s="6"/>
      <c r="DN65" s="43">
        <f>'$$xSchpostCouncil 22'!DN65/'$$xSchpostCouncil 22'!DN$123</f>
        <v>0</v>
      </c>
      <c r="DO65" s="6"/>
      <c r="DP65" s="6">
        <v>4725</v>
      </c>
      <c r="DU65" s="6">
        <f>VLOOKUP($A65,[3]Totals!$B$2:$K$119,10,FALSE)</f>
        <v>118061.5</v>
      </c>
      <c r="DV65" s="6">
        <f>VLOOKUP($A65,[3]Totals!$B$2:$K$119,9,FALSE)</f>
        <v>299354</v>
      </c>
    </row>
    <row r="66" spans="1:126" x14ac:dyDescent="0.2">
      <c r="A66" s="3">
        <v>884</v>
      </c>
      <c r="B66" s="2" t="s">
        <v>63</v>
      </c>
      <c r="C66" t="s">
        <v>1</v>
      </c>
      <c r="D66">
        <v>5</v>
      </c>
      <c r="E66" s="1">
        <v>204</v>
      </c>
      <c r="F66" s="4">
        <v>0</v>
      </c>
      <c r="G66">
        <v>0</v>
      </c>
      <c r="H66" s="43">
        <f>'$$xSchpostCouncil 22'!H66/'$$xSchpostCouncil 22'!H$123</f>
        <v>1</v>
      </c>
      <c r="I66" s="43">
        <f>'$$xSchpostCouncil 22'!I66/'$$xSchpostCouncil 22'!I$123</f>
        <v>0</v>
      </c>
      <c r="J66" s="43">
        <f>'$$xSchpostCouncil 22'!J66/'$$xSchpostCouncil 22'!J$123</f>
        <v>1</v>
      </c>
      <c r="K66" s="43">
        <f>'$$xSchpostCouncil 22'!K66/'$$xSchpostCouncil 22'!K$123</f>
        <v>1</v>
      </c>
      <c r="L66" s="6">
        <v>3577</v>
      </c>
      <c r="M66" s="43">
        <f>'$$xSchpostCouncil 22'!M66/'$$xSchpostCouncil 22'!M$123</f>
        <v>1</v>
      </c>
      <c r="N66" s="43">
        <f>'$$xSchpostCouncil 22'!N66/'$$xSchpostCouncil 22'!N$123</f>
        <v>1</v>
      </c>
      <c r="O66" s="43">
        <f>'$$xSchpostCouncil 22'!O66/'$$xSchpostCouncil 22'!O$123</f>
        <v>1</v>
      </c>
      <c r="P66" s="43">
        <f>'$$xSchpostCouncil 22'!P66/'$$xSchpostCouncil 22'!P$123</f>
        <v>1.0000006218408266</v>
      </c>
      <c r="Q66" s="43">
        <f>'$$xSchpostCouncil 22'!Q66/'$$xSchpostCouncil 22'!Q$123</f>
        <v>0</v>
      </c>
      <c r="R66" s="43">
        <f>'$$xSchpostCouncil 22'!R66/'$$xSchpostCouncil 22'!R$123</f>
        <v>0</v>
      </c>
      <c r="S66" s="43">
        <f>'$$xSchpostCouncil 22'!S66/'$$xSchpostCouncil 22'!S$123</f>
        <v>0</v>
      </c>
      <c r="T66" s="43">
        <f>'$$xSchpostCouncil 22'!T66/'$$xSchpostCouncil 22'!T$123</f>
        <v>0</v>
      </c>
      <c r="U66" s="6"/>
      <c r="V66" s="6"/>
      <c r="W66" s="6"/>
      <c r="X66" s="6"/>
      <c r="Y66" s="43">
        <f>'$$xSchpostCouncil 22'!Y66/'$$xSchpostCouncil 22'!Y$123</f>
        <v>0</v>
      </c>
      <c r="Z66" s="43">
        <f>'$$xSchpostCouncil 22'!Z66/'$$xSchpostCouncil 22'!Z$123</f>
        <v>0</v>
      </c>
      <c r="AA66" s="43">
        <f>'$$xSchpostCouncil 22'!AA66/'$$xSchpostCouncil 22'!AA$123</f>
        <v>0</v>
      </c>
      <c r="AB66" s="43">
        <f>'$$xSchpostCouncil 22'!AB66/'$$xSchpostCouncil 22'!AB$123</f>
        <v>0</v>
      </c>
      <c r="AC66" s="6"/>
      <c r="AD66" s="6">
        <v>101541</v>
      </c>
      <c r="AE66" s="43">
        <f>'$$xSchpostCouncil 22'!AE66/'$$xSchpostCouncil 22'!AE$123</f>
        <v>1</v>
      </c>
      <c r="AF66" s="43">
        <f>'$$xSchpostCouncil 22'!AF66/'$$xSchpostCouncil 22'!AF$123</f>
        <v>1</v>
      </c>
      <c r="AG66" s="43">
        <f>'$$xSchpostCouncil 22'!AG66/'$$xSchpostCouncil 22'!AG$123</f>
        <v>10</v>
      </c>
      <c r="AH66" s="43">
        <f>'$$xSchpostCouncil 22'!AH66/'$$xSchpostCouncil 22'!AH$123</f>
        <v>0</v>
      </c>
      <c r="AI66" s="43">
        <f>'$$xSchpostCouncil 22'!AI66/'$$xSchpostCouncil 22'!AI$123</f>
        <v>2</v>
      </c>
      <c r="AJ66" s="43"/>
      <c r="AK66" s="43">
        <f>'$$xSchpostCouncil 22'!AK66/'$$xSchpostCouncil 22'!AK$123</f>
        <v>1</v>
      </c>
      <c r="AL66" s="43">
        <f>'$$xSchpostCouncil 22'!AL66/'$$xSchpostCouncil 22'!AL$123</f>
        <v>0</v>
      </c>
      <c r="AM66" s="6"/>
      <c r="AN66" s="6"/>
      <c r="AO66" s="43">
        <f>'$$xSchpostCouncil 22'!AO66/'$$xSchpostCouncil 22'!AO$123</f>
        <v>0</v>
      </c>
      <c r="AP66" s="43">
        <f>'$$xSchpostCouncil 22'!AP66/'$$xSchpostCouncil 22'!AP$123</f>
        <v>0.17999626895504089</v>
      </c>
      <c r="AQ66" s="43">
        <f>'$$xSchpostCouncil 22'!AQ66/'$$xSchpostCouncil 22'!AQ$123</f>
        <v>0</v>
      </c>
      <c r="AR66" s="6"/>
      <c r="AS66" s="6"/>
      <c r="AT66" s="6"/>
      <c r="AU66" s="6"/>
      <c r="AV66" s="6">
        <v>70000</v>
      </c>
      <c r="AW66" s="6">
        <v>0</v>
      </c>
      <c r="AX66" s="6"/>
      <c r="AY66" s="6"/>
      <c r="AZ66" s="6">
        <v>64992.369999999995</v>
      </c>
      <c r="BA66" s="6"/>
      <c r="BB66" s="6"/>
      <c r="BC66" s="43">
        <f>'$$xSchpostCouncil 22'!BC66/'$$xSchpostCouncil 22'!BC$123</f>
        <v>0</v>
      </c>
      <c r="BD66" s="43">
        <f>'$$xSchpostCouncil 22'!BD66/'$$xSchpostCouncil 22'!BD$123</f>
        <v>0</v>
      </c>
      <c r="BE66" s="6"/>
      <c r="BF66" s="6"/>
      <c r="BG66" s="6"/>
      <c r="BH66" s="43">
        <f>'$$xSchpostCouncil 22'!BH66/'$$xSchpostCouncil 22'!BH$123</f>
        <v>0</v>
      </c>
      <c r="BI66" s="6"/>
      <c r="BJ66" s="43">
        <f>'$$xSchpostCouncil 22'!BJ66/'$$xSchpostCouncil 22'!BJ$123</f>
        <v>0</v>
      </c>
      <c r="BK66" s="6"/>
      <c r="BL66" s="43">
        <f>'$$xSchpostCouncil 22'!BL66/'$$xSchpostCouncil 22'!BL$123</f>
        <v>0</v>
      </c>
      <c r="BM66" s="6"/>
      <c r="BN66" s="43">
        <f>'$$xSchpostCouncil 22'!BN66/'$$xSchpostCouncil 22'!BN$123</f>
        <v>0</v>
      </c>
      <c r="BO66" s="43">
        <f>'$$xSchpostCouncil 22'!BO66/'$$xSchpostCouncil 22'!BO$123</f>
        <v>0</v>
      </c>
      <c r="BP66" s="6"/>
      <c r="BQ66" s="6"/>
      <c r="BR66" s="6"/>
      <c r="BS66" s="6"/>
      <c r="BT66" s="6"/>
      <c r="BU66" s="43">
        <f>'$$xSchpostCouncil 22'!BU66/'$$xSchpostCouncil 22'!BU$123</f>
        <v>0</v>
      </c>
      <c r="BV66" s="43">
        <f>'$$xSchpostCouncil 22'!BV66/'$$xSchpostCouncil 22'!BV$123</f>
        <v>0</v>
      </c>
      <c r="BW66" s="43">
        <f>'$$xSchpostCouncil 22'!BW66/'$$xSchpostCouncil 22'!BW$123</f>
        <v>0</v>
      </c>
      <c r="BX66" s="6">
        <v>0</v>
      </c>
      <c r="BY66" s="6"/>
      <c r="BZ66" s="6"/>
      <c r="CA66" s="6"/>
      <c r="CB66" s="6"/>
      <c r="CC66" s="6">
        <v>447671</v>
      </c>
      <c r="CD66" s="6"/>
      <c r="CE66" s="6">
        <v>112569</v>
      </c>
      <c r="CF66" s="6">
        <v>112569</v>
      </c>
      <c r="CI66" s="43">
        <f>'$$xSchpostCouncil 22'!CI66/'$$xSchpostCouncil 22'!CI$123</f>
        <v>1</v>
      </c>
      <c r="CJ66" s="43">
        <f>'$$xSchpostCouncil 22'!CJ66/'$$xSchpostCouncil 22'!CJ$123</f>
        <v>0.69999808342224124</v>
      </c>
      <c r="CK66" s="43">
        <f>'$$xSchpostCouncil 22'!CK66/'$$xSchpostCouncil 22'!CK$123</f>
        <v>0.50000550182110282</v>
      </c>
      <c r="CL66" s="43">
        <f>'$$xSchpostCouncil 22'!CL66/'$$xSchpostCouncil 22'!CL$123</f>
        <v>0</v>
      </c>
      <c r="CM66" s="43">
        <f>'$$xSchpostCouncil 22'!CM66/'$$xSchpostCouncil 22'!CM$123</f>
        <v>1</v>
      </c>
      <c r="CN66" s="43">
        <f>'$$xSchpostCouncil 22'!CN66/'$$xSchpostCouncil 22'!CN$123</f>
        <v>1</v>
      </c>
      <c r="CO66" s="43">
        <f>'$$xSchpostCouncil 22'!CO66/'$$xSchpostCouncil 22'!CO$123</f>
        <v>0</v>
      </c>
      <c r="CP66" s="43">
        <f>'$$xSchpostCouncil 22'!CP66/'$$xSchpostCouncil 22'!CP$123</f>
        <v>0</v>
      </c>
      <c r="CQ66" s="43">
        <f>'$$xSchpostCouncil 22'!CQ66/'$$xSchpostCouncil 22'!CQ$123</f>
        <v>8.5000044417201899</v>
      </c>
      <c r="CR66" s="43">
        <f>'$$xSchpostCouncil 22'!CR66/'$$xSchpostCouncil 22'!CR$123</f>
        <v>0</v>
      </c>
      <c r="CS66" s="6"/>
      <c r="CT66" s="6"/>
      <c r="CU66" s="6"/>
      <c r="CV66" s="43">
        <f>'$$xSchpostCouncil 22'!CV66/'$$xSchpostCouncil 22'!CV$123</f>
        <v>0</v>
      </c>
      <c r="CW66" s="43">
        <f>'$$xSchpostCouncil 22'!CW66/'$$xSchpostCouncil 22'!CW$123</f>
        <v>0</v>
      </c>
      <c r="CX66" s="6">
        <v>0</v>
      </c>
      <c r="CY66" s="6"/>
      <c r="CZ66" s="6"/>
      <c r="DB66" s="43">
        <f>'$$xSchpostCouncil 22'!DB66/'$$xSchpostCouncil 22'!DB$123</f>
        <v>0</v>
      </c>
      <c r="DC66" s="43">
        <f>'$$xSchpostCouncil 22'!DC66/'$$xSchpostCouncil 22'!DC$123</f>
        <v>0</v>
      </c>
      <c r="DF66" s="43">
        <f>'$$xSchpostCouncil 22'!DF66/'$$xSchpostCouncil 22'!DF$123</f>
        <v>0</v>
      </c>
      <c r="DG66" s="43">
        <f>'$$xSchpostCouncil 22'!DG66/'$$xSchpostCouncil 22'!DG$123</f>
        <v>0</v>
      </c>
      <c r="DH66" s="43">
        <f>'$$xSchpostCouncil 22'!DH66/'$$xSchpostCouncil 22'!DH$123</f>
        <v>0</v>
      </c>
      <c r="DI66" s="43">
        <f>'$$xSchpostCouncil 22'!DI66/'$$xSchpostCouncil 22'!DI$123</f>
        <v>0</v>
      </c>
      <c r="DJ66" s="43">
        <f>'$$xSchpostCouncil 22'!DJ66/'$$xSchpostCouncil 22'!DJ$123</f>
        <v>0</v>
      </c>
      <c r="DK66" s="43">
        <f>'$$xSchpostCouncil 22'!DK66/'$$xSchpostCouncil 22'!DK$123</f>
        <v>0</v>
      </c>
      <c r="DL66" s="6"/>
      <c r="DM66" s="6">
        <v>4950</v>
      </c>
      <c r="DN66" s="43">
        <f>'$$xSchpostCouncil 22'!DN66/'$$xSchpostCouncil 22'!DN$123</f>
        <v>1</v>
      </c>
      <c r="DO66" s="6"/>
      <c r="DP66" s="6"/>
      <c r="DU66" s="6">
        <f>VLOOKUP($A66,[3]Totals!$B$2:$K$119,10,FALSE)</f>
        <v>95630.37</v>
      </c>
      <c r="DV66" s="6">
        <f>VLOOKUP($A66,[3]Totals!$B$2:$K$119,9,FALSE)</f>
        <v>0</v>
      </c>
    </row>
    <row r="67" spans="1:126" x14ac:dyDescent="0.2">
      <c r="A67" s="3">
        <v>420</v>
      </c>
      <c r="B67" s="2" t="s">
        <v>62</v>
      </c>
      <c r="C67" t="s">
        <v>19</v>
      </c>
      <c r="D67">
        <v>4</v>
      </c>
      <c r="E67" s="1">
        <v>641</v>
      </c>
      <c r="F67" s="4">
        <v>0.40600000000000003</v>
      </c>
      <c r="G67">
        <v>260</v>
      </c>
      <c r="H67" s="43">
        <f>'$$xSchpostCouncil 22'!H67/'$$xSchpostCouncil 22'!H$123</f>
        <v>1</v>
      </c>
      <c r="I67" s="43">
        <f>'$$xSchpostCouncil 22'!I67/'$$xSchpostCouncil 22'!I$123</f>
        <v>1.5999964466238485</v>
      </c>
      <c r="J67" s="43">
        <f>'$$xSchpostCouncil 22'!J67/'$$xSchpostCouncil 22'!J$123</f>
        <v>0</v>
      </c>
      <c r="K67" s="43">
        <f>'$$xSchpostCouncil 22'!K67/'$$xSchpostCouncil 22'!K$123</f>
        <v>1</v>
      </c>
      <c r="L67" s="6">
        <v>8431</v>
      </c>
      <c r="M67" s="43">
        <f>'$$xSchpostCouncil 22'!M67/'$$xSchpostCouncil 22'!M$123</f>
        <v>1</v>
      </c>
      <c r="N67" s="43">
        <f>'$$xSchpostCouncil 22'!N67/'$$xSchpostCouncil 22'!N$123</f>
        <v>1</v>
      </c>
      <c r="O67" s="43">
        <f>'$$xSchpostCouncil 22'!O67/'$$xSchpostCouncil 22'!O$123</f>
        <v>4</v>
      </c>
      <c r="P67" s="43">
        <f>'$$xSchpostCouncil 22'!P67/'$$xSchpostCouncil 22'!P$123</f>
        <v>1</v>
      </c>
      <c r="Q67" s="43">
        <f>'$$xSchpostCouncil 22'!Q67/'$$xSchpostCouncil 22'!Q$123</f>
        <v>0</v>
      </c>
      <c r="R67" s="43">
        <f>'$$xSchpostCouncil 22'!R67/'$$xSchpostCouncil 22'!R$123</f>
        <v>0</v>
      </c>
      <c r="S67" s="43">
        <f>'$$xSchpostCouncil 22'!S67/'$$xSchpostCouncil 22'!S$123</f>
        <v>0</v>
      </c>
      <c r="T67" s="43">
        <f>'$$xSchpostCouncil 22'!T67/'$$xSchpostCouncil 22'!T$123</f>
        <v>0</v>
      </c>
      <c r="U67" s="6"/>
      <c r="V67" s="6"/>
      <c r="W67" s="6"/>
      <c r="X67" s="6"/>
      <c r="Y67" s="43">
        <f>'$$xSchpostCouncil 22'!Y67/'$$xSchpostCouncil 22'!Y$123</f>
        <v>0</v>
      </c>
      <c r="Z67" s="43">
        <f>'$$xSchpostCouncil 22'!Z67/'$$xSchpostCouncil 22'!Z$123</f>
        <v>0</v>
      </c>
      <c r="AA67" s="43">
        <f>'$$xSchpostCouncil 22'!AA67/'$$xSchpostCouncil 22'!AA$123</f>
        <v>0</v>
      </c>
      <c r="AB67" s="43">
        <f>'$$xSchpostCouncil 22'!AB67/'$$xSchpostCouncil 22'!AB$123</f>
        <v>0</v>
      </c>
      <c r="AC67" s="6"/>
      <c r="AD67" s="6">
        <v>249185</v>
      </c>
      <c r="AE67" s="43">
        <f>'$$xSchpostCouncil 22'!AE67/'$$xSchpostCouncil 22'!AE$123</f>
        <v>1</v>
      </c>
      <c r="AF67" s="43">
        <f>'$$xSchpostCouncil 22'!AF67/'$$xSchpostCouncil 22'!AF$123</f>
        <v>3</v>
      </c>
      <c r="AG67" s="43">
        <f>'$$xSchpostCouncil 22'!AG67/'$$xSchpostCouncil 22'!AG$123</f>
        <v>13</v>
      </c>
      <c r="AH67" s="43">
        <f>'$$xSchpostCouncil 22'!AH67/'$$xSchpostCouncil 22'!AH$123</f>
        <v>0</v>
      </c>
      <c r="AI67" s="43">
        <f>'$$xSchpostCouncil 22'!AI67/'$$xSchpostCouncil 22'!AI$123</f>
        <v>2</v>
      </c>
      <c r="AJ67" s="43"/>
      <c r="AK67" s="43">
        <f>'$$xSchpostCouncil 22'!AK67/'$$xSchpostCouncil 22'!AK$123</f>
        <v>1</v>
      </c>
      <c r="AL67" s="43">
        <f>'$$xSchpostCouncil 22'!AL67/'$$xSchpostCouncil 22'!AL$123</f>
        <v>0</v>
      </c>
      <c r="AM67" s="6"/>
      <c r="AN67" s="6"/>
      <c r="AO67" s="43">
        <f>'$$xSchpostCouncil 22'!AO67/'$$xSchpostCouncil 22'!AO$123</f>
        <v>13</v>
      </c>
      <c r="AP67" s="43">
        <f>'$$xSchpostCouncil 22'!AP67/'$$xSchpostCouncil 22'!AP$123</f>
        <v>0</v>
      </c>
      <c r="AQ67" s="43">
        <f>'$$xSchpostCouncil 22'!AQ67/'$$xSchpostCouncil 22'!AQ$123</f>
        <v>0</v>
      </c>
      <c r="AR67" s="6"/>
      <c r="AS67" s="6"/>
      <c r="AT67" s="6"/>
      <c r="AU67" s="6"/>
      <c r="AV67" s="6"/>
      <c r="AW67" s="6">
        <v>0</v>
      </c>
      <c r="AX67" s="6"/>
      <c r="AY67" s="6"/>
      <c r="AZ67" s="6">
        <v>290650.59999999998</v>
      </c>
      <c r="BA67" s="6"/>
      <c r="BB67" s="6"/>
      <c r="BC67" s="43">
        <f>'$$xSchpostCouncil 22'!BC67/'$$xSchpostCouncil 22'!BC$123</f>
        <v>0</v>
      </c>
      <c r="BD67" s="43">
        <f>'$$xSchpostCouncil 22'!BD67/'$$xSchpostCouncil 22'!BD$123</f>
        <v>0</v>
      </c>
      <c r="BE67" s="6"/>
      <c r="BF67" s="6"/>
      <c r="BG67" s="6"/>
      <c r="BH67" s="43">
        <f>'$$xSchpostCouncil 22'!BH67/'$$xSchpostCouncil 22'!BH$123</f>
        <v>0</v>
      </c>
      <c r="BI67" s="6"/>
      <c r="BJ67" s="43">
        <f>'$$xSchpostCouncil 22'!BJ67/'$$xSchpostCouncil 22'!BJ$123</f>
        <v>1</v>
      </c>
      <c r="BK67" s="6"/>
      <c r="BL67" s="43">
        <f>'$$xSchpostCouncil 22'!BL67/'$$xSchpostCouncil 22'!BL$123</f>
        <v>0</v>
      </c>
      <c r="BM67" s="6"/>
      <c r="BN67" s="43">
        <f>'$$xSchpostCouncil 22'!BN67/'$$xSchpostCouncil 22'!BN$123</f>
        <v>0</v>
      </c>
      <c r="BO67" s="43">
        <f>'$$xSchpostCouncil 22'!BO67/'$$xSchpostCouncil 22'!BO$123</f>
        <v>0</v>
      </c>
      <c r="BP67" s="6"/>
      <c r="BQ67" s="6"/>
      <c r="BR67" s="6"/>
      <c r="BS67" s="6"/>
      <c r="BT67" s="6"/>
      <c r="BU67" s="43">
        <f>'$$xSchpostCouncil 22'!BU67/'$$xSchpostCouncil 22'!BU$123</f>
        <v>0</v>
      </c>
      <c r="BV67" s="43">
        <f>'$$xSchpostCouncil 22'!BV67/'$$xSchpostCouncil 22'!BV$123</f>
        <v>0</v>
      </c>
      <c r="BW67" s="43">
        <f>'$$xSchpostCouncil 22'!BW67/'$$xSchpostCouncil 22'!BW$123</f>
        <v>0</v>
      </c>
      <c r="BX67" s="6">
        <v>658195</v>
      </c>
      <c r="BY67" s="6"/>
      <c r="BZ67" s="6"/>
      <c r="CA67" s="6"/>
      <c r="CB67" s="6"/>
      <c r="CC67" s="6">
        <v>224659</v>
      </c>
      <c r="CD67" s="6"/>
      <c r="CE67" s="6"/>
      <c r="CF67" s="6">
        <v>0</v>
      </c>
      <c r="CI67" s="43">
        <f>'$$xSchpostCouncil 22'!CI67/'$$xSchpostCouncil 22'!CI$123</f>
        <v>1</v>
      </c>
      <c r="CJ67" s="43">
        <f>'$$xSchpostCouncil 22'!CJ67/'$$xSchpostCouncil 22'!CJ$123</f>
        <v>2.1000006388592527</v>
      </c>
      <c r="CK67" s="43">
        <f>'$$xSchpostCouncil 22'!CK67/'$$xSchpostCouncil 22'!CK$123</f>
        <v>1</v>
      </c>
      <c r="CL67" s="43">
        <f>'$$xSchpostCouncil 22'!CL67/'$$xSchpostCouncil 22'!CL$123</f>
        <v>1.5999921009498608</v>
      </c>
      <c r="CM67" s="43">
        <f>'$$xSchpostCouncil 22'!CM67/'$$xSchpostCouncil 22'!CM$123</f>
        <v>0</v>
      </c>
      <c r="CN67" s="43">
        <f>'$$xSchpostCouncil 22'!CN67/'$$xSchpostCouncil 22'!CN$123</f>
        <v>0</v>
      </c>
      <c r="CO67" s="43">
        <f>'$$xSchpostCouncil 22'!CO67/'$$xSchpostCouncil 22'!CO$123</f>
        <v>0</v>
      </c>
      <c r="CP67" s="43">
        <f>'$$xSchpostCouncil 22'!CP67/'$$xSchpostCouncil 22'!CP$123</f>
        <v>0</v>
      </c>
      <c r="CQ67" s="43">
        <f>'$$xSchpostCouncil 22'!CQ67/'$$xSchpostCouncil 22'!CQ$123</f>
        <v>29.200001776688076</v>
      </c>
      <c r="CR67" s="43">
        <f>'$$xSchpostCouncil 22'!CR67/'$$xSchpostCouncil 22'!CR$123</f>
        <v>3</v>
      </c>
      <c r="CS67" s="6">
        <v>23000</v>
      </c>
      <c r="CT67" s="6">
        <v>5000</v>
      </c>
      <c r="CU67" s="6">
        <v>100000</v>
      </c>
      <c r="CV67" s="43">
        <f>'$$xSchpostCouncil 22'!CV67/'$$xSchpostCouncil 22'!CV$123</f>
        <v>0</v>
      </c>
      <c r="CW67" s="43">
        <f>'$$xSchpostCouncil 22'!CW67/'$$xSchpostCouncil 22'!CW$123</f>
        <v>0</v>
      </c>
      <c r="CX67" s="6">
        <v>0</v>
      </c>
      <c r="CY67" s="6"/>
      <c r="CZ67" s="6"/>
      <c r="DB67" s="43">
        <f>'$$xSchpostCouncil 22'!DB67/'$$xSchpostCouncil 22'!DB$123</f>
        <v>3</v>
      </c>
      <c r="DC67" s="43">
        <f>'$$xSchpostCouncil 22'!DC67/'$$xSchpostCouncil 22'!DC$123</f>
        <v>0</v>
      </c>
      <c r="DF67" s="43">
        <f>'$$xSchpostCouncil 22'!DF67/'$$xSchpostCouncil 22'!DF$123</f>
        <v>0</v>
      </c>
      <c r="DG67" s="43">
        <f>'$$xSchpostCouncil 22'!DG67/'$$xSchpostCouncil 22'!DG$123</f>
        <v>0</v>
      </c>
      <c r="DH67" s="43">
        <f>'$$xSchpostCouncil 22'!DH67/'$$xSchpostCouncil 22'!DH$123</f>
        <v>0</v>
      </c>
      <c r="DI67" s="43">
        <f>'$$xSchpostCouncil 22'!DI67/'$$xSchpostCouncil 22'!DI$123</f>
        <v>0</v>
      </c>
      <c r="DJ67" s="43">
        <f>'$$xSchpostCouncil 22'!DJ67/'$$xSchpostCouncil 22'!DJ$123</f>
        <v>0</v>
      </c>
      <c r="DK67" s="43">
        <f>'$$xSchpostCouncil 22'!DK67/'$$xSchpostCouncil 22'!DK$123</f>
        <v>0</v>
      </c>
      <c r="DL67" s="6">
        <v>5200</v>
      </c>
      <c r="DM67" s="6"/>
      <c r="DN67" s="43">
        <f>'$$xSchpostCouncil 22'!DN67/'$$xSchpostCouncil 22'!DN$123</f>
        <v>0</v>
      </c>
      <c r="DO67" s="6"/>
      <c r="DP67" s="6">
        <v>54600</v>
      </c>
      <c r="DU67" s="6">
        <f>VLOOKUP($A67,[3]Totals!$B$2:$K$119,10,FALSE)</f>
        <v>227737.43</v>
      </c>
      <c r="DV67" s="6">
        <f>VLOOKUP($A67,[3]Totals!$B$2:$K$119,9,FALSE)</f>
        <v>359742</v>
      </c>
    </row>
    <row r="68" spans="1:126" x14ac:dyDescent="0.2">
      <c r="A68" s="3">
        <v>308</v>
      </c>
      <c r="B68" s="2" t="s">
        <v>61</v>
      </c>
      <c r="C68" t="s">
        <v>7</v>
      </c>
      <c r="D68">
        <v>8</v>
      </c>
      <c r="E68" s="1">
        <v>233</v>
      </c>
      <c r="F68" s="4">
        <v>0.81100000000000005</v>
      </c>
      <c r="G68">
        <v>189</v>
      </c>
      <c r="H68" s="43">
        <f>'$$xSchpostCouncil 22'!H68/'$$xSchpostCouncil 22'!H$123</f>
        <v>1</v>
      </c>
      <c r="I68" s="43">
        <f>'$$xSchpostCouncil 22'!I68/'$$xSchpostCouncil 22'!I$123</f>
        <v>0</v>
      </c>
      <c r="J68" s="43">
        <f>'$$xSchpostCouncil 22'!J68/'$$xSchpostCouncil 22'!J$123</f>
        <v>0</v>
      </c>
      <c r="K68" s="43">
        <f>'$$xSchpostCouncil 22'!K68/'$$xSchpostCouncil 22'!K$123</f>
        <v>1</v>
      </c>
      <c r="L68" s="6">
        <v>4197</v>
      </c>
      <c r="M68" s="43">
        <f>'$$xSchpostCouncil 22'!M68/'$$xSchpostCouncil 22'!M$123</f>
        <v>1</v>
      </c>
      <c r="N68" s="43">
        <f>'$$xSchpostCouncil 22'!N68/'$$xSchpostCouncil 22'!N$123</f>
        <v>1</v>
      </c>
      <c r="O68" s="43">
        <f>'$$xSchpostCouncil 22'!O68/'$$xSchpostCouncil 22'!O$123</f>
        <v>1</v>
      </c>
      <c r="P68" s="43">
        <f>'$$xSchpostCouncil 22'!P68/'$$xSchpostCouncil 22'!P$123</f>
        <v>1.0000006218408266</v>
      </c>
      <c r="Q68" s="43">
        <f>'$$xSchpostCouncil 22'!Q68/'$$xSchpostCouncil 22'!Q$123</f>
        <v>2</v>
      </c>
      <c r="R68" s="43">
        <f>'$$xSchpostCouncil 22'!R68/'$$xSchpostCouncil 22'!R$123</f>
        <v>0</v>
      </c>
      <c r="S68" s="43">
        <f>'$$xSchpostCouncil 22'!S68/'$$xSchpostCouncil 22'!S$123</f>
        <v>2</v>
      </c>
      <c r="T68" s="43">
        <f>'$$xSchpostCouncil 22'!T68/'$$xSchpostCouncil 22'!T$123</f>
        <v>4</v>
      </c>
      <c r="U68" s="6"/>
      <c r="V68" s="6"/>
      <c r="W68" s="6"/>
      <c r="X68" s="6"/>
      <c r="Y68" s="43">
        <f>'$$xSchpostCouncil 22'!Y68/'$$xSchpostCouncil 22'!Y$123</f>
        <v>0</v>
      </c>
      <c r="Z68" s="43">
        <f>'$$xSchpostCouncil 22'!Z68/'$$xSchpostCouncil 22'!Z$123</f>
        <v>0</v>
      </c>
      <c r="AA68" s="43">
        <f>'$$xSchpostCouncil 22'!AA68/'$$xSchpostCouncil 22'!AA$123</f>
        <v>0</v>
      </c>
      <c r="AB68" s="43">
        <f>'$$xSchpostCouncil 22'!AB68/'$$xSchpostCouncil 22'!AB$123</f>
        <v>0</v>
      </c>
      <c r="AC68" s="6"/>
      <c r="AD68" s="6">
        <v>97503</v>
      </c>
      <c r="AE68" s="43">
        <f>'$$xSchpostCouncil 22'!AE68/'$$xSchpostCouncil 22'!AE$123</f>
        <v>1</v>
      </c>
      <c r="AF68" s="43">
        <f>'$$xSchpostCouncil 22'!AF68/'$$xSchpostCouncil 22'!AF$123</f>
        <v>3</v>
      </c>
      <c r="AG68" s="43">
        <f>'$$xSchpostCouncil 22'!AG68/'$$xSchpostCouncil 22'!AG$123</f>
        <v>5</v>
      </c>
      <c r="AH68" s="43">
        <f>'$$xSchpostCouncil 22'!AH68/'$$xSchpostCouncil 22'!AH$123</f>
        <v>0</v>
      </c>
      <c r="AI68" s="43">
        <f>'$$xSchpostCouncil 22'!AI68/'$$xSchpostCouncil 22'!AI$123</f>
        <v>2</v>
      </c>
      <c r="AJ68" s="43"/>
      <c r="AK68" s="43">
        <f>'$$xSchpostCouncil 22'!AK68/'$$xSchpostCouncil 22'!AK$123</f>
        <v>2</v>
      </c>
      <c r="AL68" s="43">
        <f>'$$xSchpostCouncil 22'!AL68/'$$xSchpostCouncil 22'!AL$123</f>
        <v>0</v>
      </c>
      <c r="AM68" s="6"/>
      <c r="AN68" s="6"/>
      <c r="AO68" s="43">
        <f>'$$xSchpostCouncil 22'!AO68/'$$xSchpostCouncil 22'!AO$123</f>
        <v>0</v>
      </c>
      <c r="AP68" s="43">
        <f>'$$xSchpostCouncil 22'!AP68/'$$xSchpostCouncil 22'!AP$123</f>
        <v>4.9996002451829544E-2</v>
      </c>
      <c r="AQ68" s="43">
        <f>'$$xSchpostCouncil 22'!AQ68/'$$xSchpostCouncil 22'!AQ$123</f>
        <v>0</v>
      </c>
      <c r="AR68" s="6"/>
      <c r="AS68" s="6">
        <f>34000-20400</f>
        <v>13600</v>
      </c>
      <c r="AT68" s="6">
        <f>34000-20400</f>
        <v>13600</v>
      </c>
      <c r="AU68" s="6">
        <v>10200</v>
      </c>
      <c r="AV68" s="6"/>
      <c r="AW68" s="6">
        <v>40800</v>
      </c>
      <c r="AX68" s="6"/>
      <c r="AY68" s="6"/>
      <c r="AZ68" s="6">
        <v>105648.64000000001</v>
      </c>
      <c r="BA68" s="6"/>
      <c r="BB68" s="6"/>
      <c r="BC68" s="43">
        <f>'$$xSchpostCouncil 22'!BC68/'$$xSchpostCouncil 22'!BC$123</f>
        <v>0</v>
      </c>
      <c r="BD68" s="43">
        <f>'$$xSchpostCouncil 22'!BD68/'$$xSchpostCouncil 22'!BD$123</f>
        <v>0</v>
      </c>
      <c r="BE68" s="6"/>
      <c r="BF68" s="6"/>
      <c r="BG68" s="6"/>
      <c r="BH68" s="43">
        <f>'$$xSchpostCouncil 22'!BH68/'$$xSchpostCouncil 22'!BH$123</f>
        <v>0</v>
      </c>
      <c r="BI68" s="6"/>
      <c r="BJ68" s="43">
        <f>'$$xSchpostCouncil 22'!BJ68/'$$xSchpostCouncil 22'!BJ$123</f>
        <v>0</v>
      </c>
      <c r="BK68" s="6"/>
      <c r="BL68" s="43">
        <f>'$$xSchpostCouncil 22'!BL68/'$$xSchpostCouncil 22'!BL$123</f>
        <v>0</v>
      </c>
      <c r="BM68" s="6"/>
      <c r="BN68" s="43">
        <f>'$$xSchpostCouncil 22'!BN68/'$$xSchpostCouncil 22'!BN$123</f>
        <v>0</v>
      </c>
      <c r="BO68" s="43">
        <f>'$$xSchpostCouncil 22'!BO68/'$$xSchpostCouncil 22'!BO$123</f>
        <v>0</v>
      </c>
      <c r="BP68" s="6"/>
      <c r="BQ68" s="6"/>
      <c r="BR68" s="6">
        <v>13859</v>
      </c>
      <c r="BS68" s="6"/>
      <c r="BT68" s="6"/>
      <c r="BU68" s="43">
        <f>'$$xSchpostCouncil 22'!BU68/'$$xSchpostCouncil 22'!BU$123</f>
        <v>0</v>
      </c>
      <c r="BV68" s="43">
        <f>'$$xSchpostCouncil 22'!BV68/'$$xSchpostCouncil 22'!BV$123</f>
        <v>0</v>
      </c>
      <c r="BW68" s="43">
        <f>'$$xSchpostCouncil 22'!BW68/'$$xSchpostCouncil 22'!BW$123</f>
        <v>0</v>
      </c>
      <c r="BX68" s="6">
        <v>478457.41500000004</v>
      </c>
      <c r="BY68" s="6"/>
      <c r="BZ68" s="6"/>
      <c r="CA68" s="6"/>
      <c r="CB68" s="6"/>
      <c r="CC68" s="6"/>
      <c r="CD68" s="6"/>
      <c r="CE68" s="6"/>
      <c r="CF68" s="6">
        <v>56285</v>
      </c>
      <c r="CI68" s="43">
        <f>'$$xSchpostCouncil 22'!CI68/'$$xSchpostCouncil 22'!CI$123</f>
        <v>1</v>
      </c>
      <c r="CJ68" s="43">
        <f>'$$xSchpostCouncil 22'!CJ68/'$$xSchpostCouncil 22'!CJ$123</f>
        <v>0</v>
      </c>
      <c r="CK68" s="43">
        <f>'$$xSchpostCouncil 22'!CK68/'$$xSchpostCouncil 22'!CK$123</f>
        <v>0.50000550182110282</v>
      </c>
      <c r="CL68" s="43">
        <f>'$$xSchpostCouncil 22'!CL68/'$$xSchpostCouncil 22'!CL$123</f>
        <v>0</v>
      </c>
      <c r="CM68" s="43">
        <f>'$$xSchpostCouncil 22'!CM68/'$$xSchpostCouncil 22'!CM$123</f>
        <v>0</v>
      </c>
      <c r="CN68" s="43">
        <f>'$$xSchpostCouncil 22'!CN68/'$$xSchpostCouncil 22'!CN$123</f>
        <v>0</v>
      </c>
      <c r="CO68" s="43">
        <f>'$$xSchpostCouncil 22'!CO68/'$$xSchpostCouncil 22'!CO$123</f>
        <v>3</v>
      </c>
      <c r="CP68" s="43">
        <f>'$$xSchpostCouncil 22'!CP68/'$$xSchpostCouncil 22'!CP$123</f>
        <v>2</v>
      </c>
      <c r="CQ68" s="43">
        <f>'$$xSchpostCouncil 22'!CQ68/'$$xSchpostCouncil 22'!CQ$123</f>
        <v>10</v>
      </c>
      <c r="CR68" s="43">
        <f>'$$xSchpostCouncil 22'!CR68/'$$xSchpostCouncil 22'!CR$123</f>
        <v>0</v>
      </c>
      <c r="CS68" s="6"/>
      <c r="CT68" s="6"/>
      <c r="CU68" s="6"/>
      <c r="CV68" s="43">
        <f>'$$xSchpostCouncil 22'!CV68/'$$xSchpostCouncil 22'!CV$123</f>
        <v>0</v>
      </c>
      <c r="CW68" s="43">
        <f>'$$xSchpostCouncil 22'!CW68/'$$xSchpostCouncil 22'!CW$123</f>
        <v>0</v>
      </c>
      <c r="CX68" s="6">
        <v>0</v>
      </c>
      <c r="CY68" s="6"/>
      <c r="CZ68" s="6"/>
      <c r="DB68" s="43">
        <f>'$$xSchpostCouncil 22'!DB68/'$$xSchpostCouncil 22'!DB$123</f>
        <v>0</v>
      </c>
      <c r="DC68" s="43">
        <f>'$$xSchpostCouncil 22'!DC68/'$$xSchpostCouncil 22'!DC$123</f>
        <v>0</v>
      </c>
      <c r="DF68" s="43">
        <f>'$$xSchpostCouncil 22'!DF68/'$$xSchpostCouncil 22'!DF$123</f>
        <v>0</v>
      </c>
      <c r="DG68" s="43">
        <f>'$$xSchpostCouncil 22'!DG68/'$$xSchpostCouncil 22'!DG$123</f>
        <v>0</v>
      </c>
      <c r="DH68" s="43">
        <f>'$$xSchpostCouncil 22'!DH68/'$$xSchpostCouncil 22'!DH$123</f>
        <v>0</v>
      </c>
      <c r="DI68" s="43">
        <f>'$$xSchpostCouncil 22'!DI68/'$$xSchpostCouncil 22'!DI$123</f>
        <v>0</v>
      </c>
      <c r="DJ68" s="43">
        <f>'$$xSchpostCouncil 22'!DJ68/'$$xSchpostCouncil 22'!DJ$123</f>
        <v>0</v>
      </c>
      <c r="DK68" s="43">
        <f>'$$xSchpostCouncil 22'!DK68/'$$xSchpostCouncil 22'!DK$123</f>
        <v>0</v>
      </c>
      <c r="DL68" s="6">
        <v>7619</v>
      </c>
      <c r="DM68" s="6"/>
      <c r="DN68" s="43">
        <f>'$$xSchpostCouncil 22'!DN68/'$$xSchpostCouncil 22'!DN$123</f>
        <v>0</v>
      </c>
      <c r="DO68" s="6"/>
      <c r="DP68" s="6">
        <v>19175</v>
      </c>
      <c r="DU68" s="6">
        <f>VLOOKUP($A68,[3]Totals!$B$2:$K$119,10,FALSE)</f>
        <v>136683.10999999999</v>
      </c>
      <c r="DV68" s="6">
        <f>VLOOKUP($A68,[3]Totals!$B$2:$K$119,9,FALSE)</f>
        <v>74976</v>
      </c>
    </row>
    <row r="69" spans="1:126" x14ac:dyDescent="0.2">
      <c r="A69" s="3">
        <v>273</v>
      </c>
      <c r="B69" s="2" t="s">
        <v>60</v>
      </c>
      <c r="C69" t="s">
        <v>7</v>
      </c>
      <c r="D69">
        <v>3</v>
      </c>
      <c r="E69" s="1">
        <v>402</v>
      </c>
      <c r="F69" s="4">
        <v>3.6999999999999998E-2</v>
      </c>
      <c r="G69">
        <v>15</v>
      </c>
      <c r="H69" s="43">
        <f>'$$xSchpostCouncil 22'!H69/'$$xSchpostCouncil 22'!H$123</f>
        <v>1</v>
      </c>
      <c r="I69" s="43">
        <f>'$$xSchpostCouncil 22'!I69/'$$xSchpostCouncil 22'!I$123</f>
        <v>0</v>
      </c>
      <c r="J69" s="43">
        <f>'$$xSchpostCouncil 22'!J69/'$$xSchpostCouncil 22'!J$123</f>
        <v>0</v>
      </c>
      <c r="K69" s="43">
        <f>'$$xSchpostCouncil 22'!K69/'$$xSchpostCouncil 22'!K$123</f>
        <v>1</v>
      </c>
      <c r="L69" s="6">
        <v>3485</v>
      </c>
      <c r="M69" s="43">
        <f>'$$xSchpostCouncil 22'!M69/'$$xSchpostCouncil 22'!M$123</f>
        <v>1</v>
      </c>
      <c r="N69" s="43">
        <f>'$$xSchpostCouncil 22'!N69/'$$xSchpostCouncil 22'!N$123</f>
        <v>1</v>
      </c>
      <c r="O69" s="43">
        <f>'$$xSchpostCouncil 22'!O69/'$$xSchpostCouncil 22'!O$123</f>
        <v>2</v>
      </c>
      <c r="P69" s="43">
        <f>'$$xSchpostCouncil 22'!P69/'$$xSchpostCouncil 22'!P$123</f>
        <v>1</v>
      </c>
      <c r="Q69" s="43">
        <f>'$$xSchpostCouncil 22'!Q69/'$$xSchpostCouncil 22'!Q$123</f>
        <v>0</v>
      </c>
      <c r="R69" s="43">
        <f>'$$xSchpostCouncil 22'!R69/'$$xSchpostCouncil 22'!R$123</f>
        <v>0</v>
      </c>
      <c r="S69" s="43">
        <f>'$$xSchpostCouncil 22'!S69/'$$xSchpostCouncil 22'!S$123</f>
        <v>2</v>
      </c>
      <c r="T69" s="43">
        <f>'$$xSchpostCouncil 22'!T69/'$$xSchpostCouncil 22'!T$123</f>
        <v>2</v>
      </c>
      <c r="U69" s="6"/>
      <c r="V69" s="6"/>
      <c r="W69" s="6"/>
      <c r="X69" s="6"/>
      <c r="Y69" s="43">
        <f>'$$xSchpostCouncil 22'!Y69/'$$xSchpostCouncil 22'!Y$123</f>
        <v>0</v>
      </c>
      <c r="Z69" s="43">
        <f>'$$xSchpostCouncil 22'!Z69/'$$xSchpostCouncil 22'!Z$123</f>
        <v>0</v>
      </c>
      <c r="AA69" s="43">
        <f>'$$xSchpostCouncil 22'!AA69/'$$xSchpostCouncil 22'!AA$123</f>
        <v>0</v>
      </c>
      <c r="AB69" s="43">
        <f>'$$xSchpostCouncil 22'!AB69/'$$xSchpostCouncil 22'!AB$123</f>
        <v>0</v>
      </c>
      <c r="AC69" s="6"/>
      <c r="AD69" s="6">
        <v>133508</v>
      </c>
      <c r="AE69" s="43">
        <f>'$$xSchpostCouncil 22'!AE69/'$$xSchpostCouncil 22'!AE$123</f>
        <v>1</v>
      </c>
      <c r="AF69" s="43">
        <f>'$$xSchpostCouncil 22'!AF69/'$$xSchpostCouncil 22'!AF$123</f>
        <v>1</v>
      </c>
      <c r="AG69" s="43">
        <f>'$$xSchpostCouncil 22'!AG69/'$$xSchpostCouncil 22'!AG$123</f>
        <v>3</v>
      </c>
      <c r="AH69" s="43">
        <f>'$$xSchpostCouncil 22'!AH69/'$$xSchpostCouncil 22'!AH$123</f>
        <v>0</v>
      </c>
      <c r="AI69" s="43">
        <f>'$$xSchpostCouncil 22'!AI69/'$$xSchpostCouncil 22'!AI$123</f>
        <v>0</v>
      </c>
      <c r="AJ69" s="43"/>
      <c r="AK69" s="43">
        <f>'$$xSchpostCouncil 22'!AK69/'$$xSchpostCouncil 22'!AK$123</f>
        <v>0</v>
      </c>
      <c r="AL69" s="43">
        <f>'$$xSchpostCouncil 22'!AL69/'$$xSchpostCouncil 22'!AL$123</f>
        <v>0</v>
      </c>
      <c r="AM69" s="6"/>
      <c r="AN69" s="6"/>
      <c r="AO69" s="43">
        <f>'$$xSchpostCouncil 22'!AO69/'$$xSchpostCouncil 22'!AO$123</f>
        <v>2</v>
      </c>
      <c r="AP69" s="43">
        <f>'$$xSchpostCouncil 22'!AP69/'$$xSchpostCouncil 22'!AP$123</f>
        <v>0</v>
      </c>
      <c r="AQ69" s="43">
        <f>'$$xSchpostCouncil 22'!AQ69/'$$xSchpostCouncil 22'!AQ$123</f>
        <v>0</v>
      </c>
      <c r="AR69" s="6"/>
      <c r="AS69" s="6"/>
      <c r="AT69" s="6"/>
      <c r="AU69" s="6"/>
      <c r="AV69" s="6"/>
      <c r="AW69" s="6">
        <v>0</v>
      </c>
      <c r="AX69" s="6"/>
      <c r="AY69" s="6"/>
      <c r="AZ69" s="6">
        <v>0</v>
      </c>
      <c r="BA69" s="6"/>
      <c r="BB69" s="6">
        <v>10050</v>
      </c>
      <c r="BC69" s="43">
        <f>'$$xSchpostCouncil 22'!BC69/'$$xSchpostCouncil 22'!BC$123</f>
        <v>0</v>
      </c>
      <c r="BD69" s="43">
        <f>'$$xSchpostCouncil 22'!BD69/'$$xSchpostCouncil 22'!BD$123</f>
        <v>0</v>
      </c>
      <c r="BE69" s="6"/>
      <c r="BF69" s="6"/>
      <c r="BG69" s="6"/>
      <c r="BH69" s="43">
        <f>'$$xSchpostCouncil 22'!BH69/'$$xSchpostCouncil 22'!BH$123</f>
        <v>0</v>
      </c>
      <c r="BI69" s="6"/>
      <c r="BJ69" s="43">
        <f>'$$xSchpostCouncil 22'!BJ69/'$$xSchpostCouncil 22'!BJ$123</f>
        <v>0</v>
      </c>
      <c r="BK69" s="6"/>
      <c r="BL69" s="43">
        <f>'$$xSchpostCouncil 22'!BL69/'$$xSchpostCouncil 22'!BL$123</f>
        <v>0</v>
      </c>
      <c r="BM69" s="6"/>
      <c r="BN69" s="43">
        <f>'$$xSchpostCouncil 22'!BN69/'$$xSchpostCouncil 22'!BN$123</f>
        <v>0</v>
      </c>
      <c r="BO69" s="43">
        <f>'$$xSchpostCouncil 22'!BO69/'$$xSchpostCouncil 22'!BO$123</f>
        <v>0</v>
      </c>
      <c r="BP69" s="6"/>
      <c r="BQ69" s="6"/>
      <c r="BR69" s="6"/>
      <c r="BS69" s="6"/>
      <c r="BT69" s="6"/>
      <c r="BU69" s="43">
        <f>'$$xSchpostCouncil 22'!BU69/'$$xSchpostCouncil 22'!BU$123</f>
        <v>0</v>
      </c>
      <c r="BV69" s="43">
        <f>'$$xSchpostCouncil 22'!BV69/'$$xSchpostCouncil 22'!BV$123</f>
        <v>0</v>
      </c>
      <c r="BW69" s="43">
        <f>'$$xSchpostCouncil 22'!BW69/'$$xSchpostCouncil 22'!BW$123</f>
        <v>0</v>
      </c>
      <c r="BX69" s="6">
        <v>37973</v>
      </c>
      <c r="BY69" s="6"/>
      <c r="BZ69" s="6"/>
      <c r="CA69" s="6"/>
      <c r="CB69" s="6"/>
      <c r="CC69" s="6"/>
      <c r="CD69" s="6"/>
      <c r="CE69" s="6"/>
      <c r="CF69" s="6">
        <v>0</v>
      </c>
      <c r="CI69" s="43">
        <f>'$$xSchpostCouncil 22'!CI69/'$$xSchpostCouncil 22'!CI$123</f>
        <v>1</v>
      </c>
      <c r="CJ69" s="43">
        <f>'$$xSchpostCouncil 22'!CJ69/'$$xSchpostCouncil 22'!CJ$123</f>
        <v>1</v>
      </c>
      <c r="CK69" s="43">
        <f>'$$xSchpostCouncil 22'!CK69/'$$xSchpostCouncil 22'!CK$123</f>
        <v>1</v>
      </c>
      <c r="CL69" s="43">
        <f>'$$xSchpostCouncil 22'!CL69/'$$xSchpostCouncil 22'!CL$123</f>
        <v>1</v>
      </c>
      <c r="CM69" s="43">
        <f>'$$xSchpostCouncil 22'!CM69/'$$xSchpostCouncil 22'!CM$123</f>
        <v>0</v>
      </c>
      <c r="CN69" s="43">
        <f>'$$xSchpostCouncil 22'!CN69/'$$xSchpostCouncil 22'!CN$123</f>
        <v>0</v>
      </c>
      <c r="CO69" s="43">
        <f>'$$xSchpostCouncil 22'!CO69/'$$xSchpostCouncil 22'!CO$123</f>
        <v>4.500004441720189</v>
      </c>
      <c r="CP69" s="43">
        <f>'$$xSchpostCouncil 22'!CP69/'$$xSchpostCouncil 22'!CP$123</f>
        <v>3</v>
      </c>
      <c r="CQ69" s="43">
        <f>'$$xSchpostCouncil 22'!CQ69/'$$xSchpostCouncil 22'!CQ$123</f>
        <v>18</v>
      </c>
      <c r="CR69" s="43">
        <f>'$$xSchpostCouncil 22'!CR69/'$$xSchpostCouncil 22'!CR$123</f>
        <v>0</v>
      </c>
      <c r="CS69" s="6"/>
      <c r="CT69" s="6"/>
      <c r="CU69" s="6"/>
      <c r="CV69" s="43">
        <f>'$$xSchpostCouncil 22'!CV69/'$$xSchpostCouncil 22'!CV$123</f>
        <v>0</v>
      </c>
      <c r="CW69" s="43">
        <f>'$$xSchpostCouncil 22'!CW69/'$$xSchpostCouncil 22'!CW$123</f>
        <v>0</v>
      </c>
      <c r="CX69" s="6">
        <v>0</v>
      </c>
      <c r="CY69" s="6"/>
      <c r="CZ69" s="6"/>
      <c r="DB69" s="43">
        <f>'$$xSchpostCouncil 22'!DB69/'$$xSchpostCouncil 22'!DB$123</f>
        <v>0</v>
      </c>
      <c r="DC69" s="43">
        <f>'$$xSchpostCouncil 22'!DC69/'$$xSchpostCouncil 22'!DC$123</f>
        <v>0</v>
      </c>
      <c r="DF69" s="43">
        <f>'$$xSchpostCouncil 22'!DF69/'$$xSchpostCouncil 22'!DF$123</f>
        <v>0</v>
      </c>
      <c r="DG69" s="43">
        <f>'$$xSchpostCouncil 22'!DG69/'$$xSchpostCouncil 22'!DG$123</f>
        <v>0</v>
      </c>
      <c r="DH69" s="43">
        <f>'$$xSchpostCouncil 22'!DH69/'$$xSchpostCouncil 22'!DH$123</f>
        <v>0</v>
      </c>
      <c r="DI69" s="43">
        <f>'$$xSchpostCouncil 22'!DI69/'$$xSchpostCouncil 22'!DI$123</f>
        <v>0</v>
      </c>
      <c r="DJ69" s="43">
        <f>'$$xSchpostCouncil 22'!DJ69/'$$xSchpostCouncil 22'!DJ$123</f>
        <v>0</v>
      </c>
      <c r="DK69" s="43">
        <f>'$$xSchpostCouncil 22'!DK69/'$$xSchpostCouncil 22'!DK$123</f>
        <v>0</v>
      </c>
      <c r="DL69" s="6"/>
      <c r="DM69" s="6"/>
      <c r="DN69" s="43">
        <f>'$$xSchpostCouncil 22'!DN69/'$$xSchpostCouncil 22'!DN$123</f>
        <v>0</v>
      </c>
      <c r="DO69" s="6"/>
      <c r="DP69" s="6">
        <v>1225</v>
      </c>
      <c r="DU69" s="6">
        <f>VLOOKUP($A69,[3]Totals!$B$2:$K$119,10,FALSE)</f>
        <v>27791.63</v>
      </c>
      <c r="DV69" s="6">
        <f>VLOOKUP($A69,[3]Totals!$B$2:$K$119,9,FALSE)</f>
        <v>131014</v>
      </c>
    </row>
    <row r="70" spans="1:126" x14ac:dyDescent="0.2">
      <c r="A70" s="3">
        <v>284</v>
      </c>
      <c r="B70" s="2" t="s">
        <v>59</v>
      </c>
      <c r="C70" t="s">
        <v>7</v>
      </c>
      <c r="D70">
        <v>1</v>
      </c>
      <c r="E70" s="1">
        <v>457</v>
      </c>
      <c r="F70" s="4">
        <v>0.29499999999999998</v>
      </c>
      <c r="G70">
        <v>135</v>
      </c>
      <c r="H70" s="43">
        <f>'$$xSchpostCouncil 22'!H70/'$$xSchpostCouncil 22'!H$123</f>
        <v>1</v>
      </c>
      <c r="I70" s="43">
        <f>'$$xSchpostCouncil 22'!I70/'$$xSchpostCouncil 22'!I$123</f>
        <v>0</v>
      </c>
      <c r="J70" s="43">
        <f>'$$xSchpostCouncil 22'!J70/'$$xSchpostCouncil 22'!J$123</f>
        <v>0</v>
      </c>
      <c r="K70" s="43">
        <f>'$$xSchpostCouncil 22'!K70/'$$xSchpostCouncil 22'!K$123</f>
        <v>1</v>
      </c>
      <c r="L70" s="6">
        <v>10106</v>
      </c>
      <c r="M70" s="43">
        <f>'$$xSchpostCouncil 22'!M70/'$$xSchpostCouncil 22'!M$123</f>
        <v>1</v>
      </c>
      <c r="N70" s="43">
        <f>'$$xSchpostCouncil 22'!N70/'$$xSchpostCouncil 22'!N$123</f>
        <v>1</v>
      </c>
      <c r="O70" s="43">
        <f>'$$xSchpostCouncil 22'!O70/'$$xSchpostCouncil 22'!O$123</f>
        <v>4</v>
      </c>
      <c r="P70" s="43">
        <f>'$$xSchpostCouncil 22'!P70/'$$xSchpostCouncil 22'!P$123</f>
        <v>1</v>
      </c>
      <c r="Q70" s="43">
        <f>'$$xSchpostCouncil 22'!Q70/'$$xSchpostCouncil 22'!Q$123</f>
        <v>2</v>
      </c>
      <c r="R70" s="43">
        <f>'$$xSchpostCouncil 22'!R70/'$$xSchpostCouncil 22'!R$123</f>
        <v>2</v>
      </c>
      <c r="S70" s="43">
        <f>'$$xSchpostCouncil 22'!S70/'$$xSchpostCouncil 22'!S$123</f>
        <v>2</v>
      </c>
      <c r="T70" s="43">
        <f>'$$xSchpostCouncil 22'!T70/'$$xSchpostCouncil 22'!T$123</f>
        <v>6</v>
      </c>
      <c r="U70" s="6"/>
      <c r="V70" s="6"/>
      <c r="W70" s="6"/>
      <c r="X70" s="6"/>
      <c r="Y70" s="43">
        <f>'$$xSchpostCouncil 22'!Y70/'$$xSchpostCouncil 22'!Y$123</f>
        <v>0</v>
      </c>
      <c r="Z70" s="43">
        <f>'$$xSchpostCouncil 22'!Z70/'$$xSchpostCouncil 22'!Z$123</f>
        <v>0</v>
      </c>
      <c r="AA70" s="43">
        <f>'$$xSchpostCouncil 22'!AA70/'$$xSchpostCouncil 22'!AA$123</f>
        <v>0</v>
      </c>
      <c r="AB70" s="43">
        <f>'$$xSchpostCouncil 22'!AB70/'$$xSchpostCouncil 22'!AB$123</f>
        <v>0</v>
      </c>
      <c r="AC70" s="6"/>
      <c r="AD70" s="6">
        <v>186706</v>
      </c>
      <c r="AE70" s="43">
        <f>'$$xSchpostCouncil 22'!AE70/'$$xSchpostCouncil 22'!AE$123</f>
        <v>1</v>
      </c>
      <c r="AF70" s="43">
        <f>'$$xSchpostCouncil 22'!AF70/'$$xSchpostCouncil 22'!AF$123</f>
        <v>4</v>
      </c>
      <c r="AG70" s="43">
        <f>'$$xSchpostCouncil 22'!AG70/'$$xSchpostCouncil 22'!AG$123</f>
        <v>7</v>
      </c>
      <c r="AH70" s="43">
        <f>'$$xSchpostCouncil 22'!AH70/'$$xSchpostCouncil 22'!AH$123</f>
        <v>0</v>
      </c>
      <c r="AI70" s="43">
        <f>'$$xSchpostCouncil 22'!AI70/'$$xSchpostCouncil 22'!AI$123</f>
        <v>2</v>
      </c>
      <c r="AJ70" s="43"/>
      <c r="AK70" s="43">
        <f>'$$xSchpostCouncil 22'!AK70/'$$xSchpostCouncil 22'!AK$123</f>
        <v>2</v>
      </c>
      <c r="AL70" s="43">
        <f>'$$xSchpostCouncil 22'!AL70/'$$xSchpostCouncil 22'!AL$123</f>
        <v>0</v>
      </c>
      <c r="AM70" s="6"/>
      <c r="AN70" s="6"/>
      <c r="AO70" s="43">
        <f>'$$xSchpostCouncil 22'!AO70/'$$xSchpostCouncil 22'!AO$123</f>
        <v>9</v>
      </c>
      <c r="AP70" s="43">
        <f>'$$xSchpostCouncil 22'!AP70/'$$xSchpostCouncil 22'!AP$123</f>
        <v>0</v>
      </c>
      <c r="AQ70" s="43">
        <f>'$$xSchpostCouncil 22'!AQ70/'$$xSchpostCouncil 22'!AQ$123</f>
        <v>0</v>
      </c>
      <c r="AR70" s="6"/>
      <c r="AS70" s="6">
        <f>74800-40800</f>
        <v>34000</v>
      </c>
      <c r="AT70" s="6">
        <f>74800-40800</f>
        <v>34000</v>
      </c>
      <c r="AU70" s="6"/>
      <c r="AV70" s="6"/>
      <c r="AW70" s="6">
        <v>81600</v>
      </c>
      <c r="AX70" s="6"/>
      <c r="AY70" s="6"/>
      <c r="AZ70" s="6">
        <v>207217.72</v>
      </c>
      <c r="BA70" s="6"/>
      <c r="BB70" s="6"/>
      <c r="BC70" s="43">
        <f>'$$xSchpostCouncil 22'!BC70/'$$xSchpostCouncil 22'!BC$123</f>
        <v>0</v>
      </c>
      <c r="BD70" s="43">
        <f>'$$xSchpostCouncil 22'!BD70/'$$xSchpostCouncil 22'!BD$123</f>
        <v>0</v>
      </c>
      <c r="BE70" s="6"/>
      <c r="BF70" s="6"/>
      <c r="BG70" s="6"/>
      <c r="BH70" s="43">
        <f>'$$xSchpostCouncil 22'!BH70/'$$xSchpostCouncil 22'!BH$123</f>
        <v>0</v>
      </c>
      <c r="BI70" s="6"/>
      <c r="BJ70" s="43">
        <f>'$$xSchpostCouncil 22'!BJ70/'$$xSchpostCouncil 22'!BJ$123</f>
        <v>0</v>
      </c>
      <c r="BK70" s="6"/>
      <c r="BL70" s="43">
        <f>'$$xSchpostCouncil 22'!BL70/'$$xSchpostCouncil 22'!BL$123</f>
        <v>0</v>
      </c>
      <c r="BM70" s="6"/>
      <c r="BN70" s="43">
        <f>'$$xSchpostCouncil 22'!BN70/'$$xSchpostCouncil 22'!BN$123</f>
        <v>1</v>
      </c>
      <c r="BO70" s="43">
        <f>'$$xSchpostCouncil 22'!BO70/'$$xSchpostCouncil 22'!BO$123</f>
        <v>1</v>
      </c>
      <c r="BP70" s="6">
        <v>70583</v>
      </c>
      <c r="BQ70" s="6">
        <v>5000</v>
      </c>
      <c r="BR70" s="6"/>
      <c r="BS70" s="6"/>
      <c r="BT70" s="6"/>
      <c r="BU70" s="43">
        <f>'$$xSchpostCouncil 22'!BU70/'$$xSchpostCouncil 22'!BU$123</f>
        <v>0</v>
      </c>
      <c r="BV70" s="43">
        <f>'$$xSchpostCouncil 22'!BV70/'$$xSchpostCouncil 22'!BV$123</f>
        <v>0</v>
      </c>
      <c r="BW70" s="43">
        <f>'$$xSchpostCouncil 22'!BW70/'$$xSchpostCouncil 22'!BW$123</f>
        <v>0</v>
      </c>
      <c r="BX70" s="6">
        <v>341755</v>
      </c>
      <c r="BY70" s="6"/>
      <c r="BZ70" s="6"/>
      <c r="CA70" s="6"/>
      <c r="CB70" s="6"/>
      <c r="CC70" s="6"/>
      <c r="CD70" s="6"/>
      <c r="CE70" s="6"/>
      <c r="CF70" s="6">
        <v>122769</v>
      </c>
      <c r="CI70" s="43">
        <f>'$$xSchpostCouncil 22'!CI70/'$$xSchpostCouncil 22'!CI$123</f>
        <v>1</v>
      </c>
      <c r="CJ70" s="43">
        <f>'$$xSchpostCouncil 22'!CJ70/'$$xSchpostCouncil 22'!CJ$123</f>
        <v>1.1000006388592529</v>
      </c>
      <c r="CK70" s="43">
        <f>'$$xSchpostCouncil 22'!CK70/'$$xSchpostCouncil 22'!CK$123</f>
        <v>1</v>
      </c>
      <c r="CL70" s="43">
        <f>'$$xSchpostCouncil 22'!CL70/'$$xSchpostCouncil 22'!CL$123</f>
        <v>1.1000019747625347</v>
      </c>
      <c r="CM70" s="43">
        <f>'$$xSchpostCouncil 22'!CM70/'$$xSchpostCouncil 22'!CM$123</f>
        <v>0</v>
      </c>
      <c r="CN70" s="43">
        <f>'$$xSchpostCouncil 22'!CN70/'$$xSchpostCouncil 22'!CN$123</f>
        <v>0</v>
      </c>
      <c r="CO70" s="43">
        <f>'$$xSchpostCouncil 22'!CO70/'$$xSchpostCouncil 22'!CO$123</f>
        <v>4.500004441720189</v>
      </c>
      <c r="CP70" s="43">
        <f>'$$xSchpostCouncil 22'!CP70/'$$xSchpostCouncil 22'!CP$123</f>
        <v>3</v>
      </c>
      <c r="CQ70" s="43">
        <f>'$$xSchpostCouncil 22'!CQ70/'$$xSchpostCouncil 22'!CQ$123</f>
        <v>18</v>
      </c>
      <c r="CR70" s="43">
        <f>'$$xSchpostCouncil 22'!CR70/'$$xSchpostCouncil 22'!CR$123</f>
        <v>0</v>
      </c>
      <c r="CS70" s="6"/>
      <c r="CT70" s="6"/>
      <c r="CU70" s="6"/>
      <c r="CV70" s="43">
        <f>'$$xSchpostCouncil 22'!CV70/'$$xSchpostCouncil 22'!CV$123</f>
        <v>0</v>
      </c>
      <c r="CW70" s="43">
        <f>'$$xSchpostCouncil 22'!CW70/'$$xSchpostCouncil 22'!CW$123</f>
        <v>0</v>
      </c>
      <c r="CX70" s="6">
        <v>0</v>
      </c>
      <c r="CY70" s="6"/>
      <c r="CZ70" s="6"/>
      <c r="DB70" s="43">
        <f>'$$xSchpostCouncil 22'!DB70/'$$xSchpostCouncil 22'!DB$123</f>
        <v>2</v>
      </c>
      <c r="DC70" s="43">
        <f>'$$xSchpostCouncil 22'!DC70/'$$xSchpostCouncil 22'!DC$123</f>
        <v>0</v>
      </c>
      <c r="DF70" s="43">
        <f>'$$xSchpostCouncil 22'!DF70/'$$xSchpostCouncil 22'!DF$123</f>
        <v>0</v>
      </c>
      <c r="DG70" s="43">
        <f>'$$xSchpostCouncil 22'!DG70/'$$xSchpostCouncil 22'!DG$123</f>
        <v>0</v>
      </c>
      <c r="DH70" s="43">
        <f>'$$xSchpostCouncil 22'!DH70/'$$xSchpostCouncil 22'!DH$123</f>
        <v>0</v>
      </c>
      <c r="DI70" s="43">
        <f>'$$xSchpostCouncil 22'!DI70/'$$xSchpostCouncil 22'!DI$123</f>
        <v>0</v>
      </c>
      <c r="DJ70" s="43">
        <f>'$$xSchpostCouncil 22'!DJ70/'$$xSchpostCouncil 22'!DJ$123</f>
        <v>0</v>
      </c>
      <c r="DK70" s="43">
        <f>'$$xSchpostCouncil 22'!DK70/'$$xSchpostCouncil 22'!DK$123</f>
        <v>0</v>
      </c>
      <c r="DL70" s="6">
        <v>2702</v>
      </c>
      <c r="DM70" s="6"/>
      <c r="DN70" s="43">
        <f>'$$xSchpostCouncil 22'!DN70/'$$xSchpostCouncil 22'!DN$123</f>
        <v>0</v>
      </c>
      <c r="DO70" s="6"/>
      <c r="DP70" s="6">
        <v>10125</v>
      </c>
      <c r="DU70" s="6">
        <f>VLOOKUP($A70,[3]Totals!$B$2:$K$119,10,FALSE)</f>
        <v>122144.73</v>
      </c>
      <c r="DV70" s="6">
        <f>VLOOKUP($A70,[3]Totals!$B$2:$K$119,9,FALSE)</f>
        <v>8000</v>
      </c>
    </row>
    <row r="71" spans="1:126" x14ac:dyDescent="0.2">
      <c r="A71" s="3">
        <v>274</v>
      </c>
      <c r="B71" s="2" t="s">
        <v>58</v>
      </c>
      <c r="C71" t="s">
        <v>7</v>
      </c>
      <c r="D71">
        <v>6</v>
      </c>
      <c r="E71" s="1">
        <v>509</v>
      </c>
      <c r="F71" s="4">
        <v>0.13400000000000001</v>
      </c>
      <c r="G71">
        <v>68</v>
      </c>
      <c r="H71" s="43">
        <f>'$$xSchpostCouncil 22'!H71/'$$xSchpostCouncil 22'!H$123</f>
        <v>1</v>
      </c>
      <c r="I71" s="43">
        <f>'$$xSchpostCouncil 22'!I71/'$$xSchpostCouncil 22'!I$123</f>
        <v>0</v>
      </c>
      <c r="J71" s="43">
        <f>'$$xSchpostCouncil 22'!J71/'$$xSchpostCouncil 22'!J$123</f>
        <v>0</v>
      </c>
      <c r="K71" s="43">
        <f>'$$xSchpostCouncil 22'!K71/'$$xSchpostCouncil 22'!K$123</f>
        <v>1</v>
      </c>
      <c r="L71" s="6">
        <v>6422</v>
      </c>
      <c r="M71" s="43">
        <f>'$$xSchpostCouncil 22'!M71/'$$xSchpostCouncil 22'!M$123</f>
        <v>1</v>
      </c>
      <c r="N71" s="43">
        <f>'$$xSchpostCouncil 22'!N71/'$$xSchpostCouncil 22'!N$123</f>
        <v>1</v>
      </c>
      <c r="O71" s="43">
        <f>'$$xSchpostCouncil 22'!O71/'$$xSchpostCouncil 22'!O$123</f>
        <v>3</v>
      </c>
      <c r="P71" s="43">
        <f>'$$xSchpostCouncil 22'!P71/'$$xSchpostCouncil 22'!P$123</f>
        <v>1</v>
      </c>
      <c r="Q71" s="43">
        <f>'$$xSchpostCouncil 22'!Q71/'$$xSchpostCouncil 22'!Q$123</f>
        <v>2</v>
      </c>
      <c r="R71" s="43">
        <f>'$$xSchpostCouncil 22'!R71/'$$xSchpostCouncil 22'!R$123</f>
        <v>1</v>
      </c>
      <c r="S71" s="43">
        <f>'$$xSchpostCouncil 22'!S71/'$$xSchpostCouncil 22'!S$123</f>
        <v>2</v>
      </c>
      <c r="T71" s="43">
        <f>'$$xSchpostCouncil 22'!T71/'$$xSchpostCouncil 22'!T$123</f>
        <v>5</v>
      </c>
      <c r="U71" s="6"/>
      <c r="V71" s="6"/>
      <c r="W71" s="6"/>
      <c r="X71" s="6"/>
      <c r="Y71" s="43">
        <f>'$$xSchpostCouncil 22'!Y71/'$$xSchpostCouncil 22'!Y$123</f>
        <v>0</v>
      </c>
      <c r="Z71" s="43">
        <f>'$$xSchpostCouncil 22'!Z71/'$$xSchpostCouncil 22'!Z$123</f>
        <v>0</v>
      </c>
      <c r="AA71" s="43">
        <f>'$$xSchpostCouncil 22'!AA71/'$$xSchpostCouncil 22'!AA$123</f>
        <v>0</v>
      </c>
      <c r="AB71" s="43">
        <f>'$$xSchpostCouncil 22'!AB71/'$$xSchpostCouncil 22'!AB$123</f>
        <v>0</v>
      </c>
      <c r="AC71" s="6"/>
      <c r="AD71" s="6">
        <v>161940</v>
      </c>
      <c r="AE71" s="43">
        <f>'$$xSchpostCouncil 22'!AE71/'$$xSchpostCouncil 22'!AE$123</f>
        <v>1</v>
      </c>
      <c r="AF71" s="43">
        <f>'$$xSchpostCouncil 22'!AF71/'$$xSchpostCouncil 22'!AF$123</f>
        <v>1</v>
      </c>
      <c r="AG71" s="43">
        <f>'$$xSchpostCouncil 22'!AG71/'$$xSchpostCouncil 22'!AG$123</f>
        <v>4</v>
      </c>
      <c r="AH71" s="43">
        <f>'$$xSchpostCouncil 22'!AH71/'$$xSchpostCouncil 22'!AH$123</f>
        <v>0</v>
      </c>
      <c r="AI71" s="43">
        <f>'$$xSchpostCouncil 22'!AI71/'$$xSchpostCouncil 22'!AI$123</f>
        <v>0</v>
      </c>
      <c r="AJ71" s="43"/>
      <c r="AK71" s="43">
        <f>'$$xSchpostCouncil 22'!AK71/'$$xSchpostCouncil 22'!AK$123</f>
        <v>0</v>
      </c>
      <c r="AL71" s="43">
        <f>'$$xSchpostCouncil 22'!AL71/'$$xSchpostCouncil 22'!AL$123</f>
        <v>0</v>
      </c>
      <c r="AM71" s="6"/>
      <c r="AN71" s="6"/>
      <c r="AO71" s="43">
        <f>'$$xSchpostCouncil 22'!AO71/'$$xSchpostCouncil 22'!AO$123</f>
        <v>1</v>
      </c>
      <c r="AP71" s="43">
        <f>'$$xSchpostCouncil 22'!AP71/'$$xSchpostCouncil 22'!AP$123</f>
        <v>0</v>
      </c>
      <c r="AQ71" s="43">
        <f>'$$xSchpostCouncil 22'!AQ71/'$$xSchpostCouncil 22'!AQ$123</f>
        <v>0</v>
      </c>
      <c r="AR71" s="6"/>
      <c r="AS71" s="6"/>
      <c r="AT71" s="6"/>
      <c r="AU71" s="6"/>
      <c r="AV71" s="6"/>
      <c r="AW71" s="6">
        <v>0</v>
      </c>
      <c r="AX71" s="6"/>
      <c r="AY71" s="6"/>
      <c r="AZ71" s="6">
        <v>0</v>
      </c>
      <c r="BA71" s="6"/>
      <c r="BB71" s="6">
        <v>12725</v>
      </c>
      <c r="BC71" s="43">
        <f>'$$xSchpostCouncil 22'!BC71/'$$xSchpostCouncil 22'!BC$123</f>
        <v>0</v>
      </c>
      <c r="BD71" s="43">
        <f>'$$xSchpostCouncil 22'!BD71/'$$xSchpostCouncil 22'!BD$123</f>
        <v>0</v>
      </c>
      <c r="BE71" s="6"/>
      <c r="BF71" s="6"/>
      <c r="BG71" s="6"/>
      <c r="BH71" s="43">
        <f>'$$xSchpostCouncil 22'!BH71/'$$xSchpostCouncil 22'!BH$123</f>
        <v>0</v>
      </c>
      <c r="BI71" s="6"/>
      <c r="BJ71" s="43">
        <f>'$$xSchpostCouncil 22'!BJ71/'$$xSchpostCouncil 22'!BJ$123</f>
        <v>0</v>
      </c>
      <c r="BK71" s="6"/>
      <c r="BL71" s="43">
        <f>'$$xSchpostCouncil 22'!BL71/'$$xSchpostCouncil 22'!BL$123</f>
        <v>0</v>
      </c>
      <c r="BM71" s="6"/>
      <c r="BN71" s="43">
        <f>'$$xSchpostCouncil 22'!BN71/'$$xSchpostCouncil 22'!BN$123</f>
        <v>0</v>
      </c>
      <c r="BO71" s="43">
        <f>'$$xSchpostCouncil 22'!BO71/'$$xSchpostCouncil 22'!BO$123</f>
        <v>0</v>
      </c>
      <c r="BP71" s="6"/>
      <c r="BQ71" s="6"/>
      <c r="BR71" s="6"/>
      <c r="BS71" s="6"/>
      <c r="BT71" s="6"/>
      <c r="BU71" s="43">
        <f>'$$xSchpostCouncil 22'!BU71/'$$xSchpostCouncil 22'!BU$123</f>
        <v>0</v>
      </c>
      <c r="BV71" s="43">
        <f>'$$xSchpostCouncil 22'!BV71/'$$xSchpostCouncil 22'!BV$123</f>
        <v>0</v>
      </c>
      <c r="BW71" s="43">
        <f>'$$xSchpostCouncil 22'!BW71/'$$xSchpostCouncil 22'!BW$123</f>
        <v>0</v>
      </c>
      <c r="BX71" s="6">
        <v>172143</v>
      </c>
      <c r="BY71" s="6"/>
      <c r="BZ71" s="6"/>
      <c r="CA71" s="6"/>
      <c r="CB71" s="6"/>
      <c r="CC71" s="6"/>
      <c r="CD71" s="6"/>
      <c r="CE71" s="6"/>
      <c r="CF71" s="6">
        <v>0</v>
      </c>
      <c r="CI71" s="43">
        <f>'$$xSchpostCouncil 22'!CI71/'$$xSchpostCouncil 22'!CI$123</f>
        <v>1</v>
      </c>
      <c r="CJ71" s="43">
        <f>'$$xSchpostCouncil 22'!CJ71/'$$xSchpostCouncil 22'!CJ$123</f>
        <v>1.3000019165777588</v>
      </c>
      <c r="CK71" s="43">
        <f>'$$xSchpostCouncil 22'!CK71/'$$xSchpostCouncil 22'!CK$123</f>
        <v>1</v>
      </c>
      <c r="CL71" s="43">
        <f>'$$xSchpostCouncil 22'!CL71/'$$xSchpostCouncil 22'!CL$123</f>
        <v>1.3000059242876043</v>
      </c>
      <c r="CM71" s="43">
        <f>'$$xSchpostCouncil 22'!CM71/'$$xSchpostCouncil 22'!CM$123</f>
        <v>0</v>
      </c>
      <c r="CN71" s="43">
        <f>'$$xSchpostCouncil 22'!CN71/'$$xSchpostCouncil 22'!CN$123</f>
        <v>0</v>
      </c>
      <c r="CO71" s="43">
        <f>'$$xSchpostCouncil 22'!CO71/'$$xSchpostCouncil 22'!CO$123</f>
        <v>4.500004441720189</v>
      </c>
      <c r="CP71" s="43">
        <f>'$$xSchpostCouncil 22'!CP71/'$$xSchpostCouncil 22'!CP$123</f>
        <v>4</v>
      </c>
      <c r="CQ71" s="43">
        <f>'$$xSchpostCouncil 22'!CQ71/'$$xSchpostCouncil 22'!CQ$123</f>
        <v>20</v>
      </c>
      <c r="CR71" s="43">
        <f>'$$xSchpostCouncil 22'!CR71/'$$xSchpostCouncil 22'!CR$123</f>
        <v>0</v>
      </c>
      <c r="CS71" s="6"/>
      <c r="CT71" s="6"/>
      <c r="CU71" s="6"/>
      <c r="CV71" s="43">
        <f>'$$xSchpostCouncil 22'!CV71/'$$xSchpostCouncil 22'!CV$123</f>
        <v>0</v>
      </c>
      <c r="CW71" s="43">
        <f>'$$xSchpostCouncil 22'!CW71/'$$xSchpostCouncil 22'!CW$123</f>
        <v>0</v>
      </c>
      <c r="CX71" s="6">
        <v>0</v>
      </c>
      <c r="CY71" s="6"/>
      <c r="CZ71" s="6"/>
      <c r="DB71" s="43">
        <f>'$$xSchpostCouncil 22'!DB71/'$$xSchpostCouncil 22'!DB$123</f>
        <v>0</v>
      </c>
      <c r="DC71" s="43">
        <f>'$$xSchpostCouncil 22'!DC71/'$$xSchpostCouncil 22'!DC$123</f>
        <v>0</v>
      </c>
      <c r="DF71" s="43">
        <f>'$$xSchpostCouncil 22'!DF71/'$$xSchpostCouncil 22'!DF$123</f>
        <v>0</v>
      </c>
      <c r="DG71" s="43">
        <f>'$$xSchpostCouncil 22'!DG71/'$$xSchpostCouncil 22'!DG$123</f>
        <v>0</v>
      </c>
      <c r="DH71" s="43">
        <f>'$$xSchpostCouncil 22'!DH71/'$$xSchpostCouncil 22'!DH$123</f>
        <v>0</v>
      </c>
      <c r="DI71" s="43">
        <f>'$$xSchpostCouncil 22'!DI71/'$$xSchpostCouncil 22'!DI$123</f>
        <v>0</v>
      </c>
      <c r="DJ71" s="43">
        <f>'$$xSchpostCouncil 22'!DJ71/'$$xSchpostCouncil 22'!DJ$123</f>
        <v>0</v>
      </c>
      <c r="DK71" s="43">
        <f>'$$xSchpostCouncil 22'!DK71/'$$xSchpostCouncil 22'!DK$123</f>
        <v>0</v>
      </c>
      <c r="DL71" s="6"/>
      <c r="DM71" s="6"/>
      <c r="DN71" s="43">
        <f>'$$xSchpostCouncil 22'!DN71/'$$xSchpostCouncil 22'!DN$123</f>
        <v>0</v>
      </c>
      <c r="DO71" s="6"/>
      <c r="DP71" s="6">
        <v>2625</v>
      </c>
      <c r="DU71" s="6">
        <f>VLOOKUP($A71,[3]Totals!$B$2:$K$119,10,FALSE)</f>
        <v>81936.820000000007</v>
      </c>
      <c r="DV71" s="6">
        <f>VLOOKUP($A71,[3]Totals!$B$2:$K$119,9,FALSE)</f>
        <v>112569</v>
      </c>
    </row>
    <row r="72" spans="1:126" x14ac:dyDescent="0.2">
      <c r="A72" s="3">
        <v>435</v>
      </c>
      <c r="B72" s="2" t="s">
        <v>57</v>
      </c>
      <c r="C72" t="s">
        <v>19</v>
      </c>
      <c r="D72">
        <v>5</v>
      </c>
      <c r="E72" s="1">
        <v>300</v>
      </c>
      <c r="F72" s="4">
        <v>0.60699999999999998</v>
      </c>
      <c r="G72">
        <v>182</v>
      </c>
      <c r="H72" s="43">
        <f>'$$xSchpostCouncil 22'!H72/'$$xSchpostCouncil 22'!H$123</f>
        <v>0.50000256046539016</v>
      </c>
      <c r="I72" s="43">
        <f>'$$xSchpostCouncil 22'!I72/'$$xSchpostCouncil 22'!I$123</f>
        <v>1</v>
      </c>
      <c r="J72" s="43">
        <f>'$$xSchpostCouncil 22'!J72/'$$xSchpostCouncil 22'!J$123</f>
        <v>0</v>
      </c>
      <c r="K72" s="43">
        <f>'$$xSchpostCouncil 22'!K72/'$$xSchpostCouncil 22'!K$123</f>
        <v>1</v>
      </c>
      <c r="L72" s="6">
        <v>4085</v>
      </c>
      <c r="M72" s="43">
        <f>'$$xSchpostCouncil 22'!M72/'$$xSchpostCouncil 22'!M$123</f>
        <v>1</v>
      </c>
      <c r="N72" s="43">
        <f>'$$xSchpostCouncil 22'!N72/'$$xSchpostCouncil 22'!N$123</f>
        <v>1</v>
      </c>
      <c r="O72" s="43">
        <f>'$$xSchpostCouncil 22'!O72/'$$xSchpostCouncil 22'!O$123</f>
        <v>3</v>
      </c>
      <c r="P72" s="43">
        <f>'$$xSchpostCouncil 22'!P72/'$$xSchpostCouncil 22'!P$123</f>
        <v>1</v>
      </c>
      <c r="Q72" s="43">
        <f>'$$xSchpostCouncil 22'!Q72/'$$xSchpostCouncil 22'!Q$123</f>
        <v>0</v>
      </c>
      <c r="R72" s="43">
        <f>'$$xSchpostCouncil 22'!R72/'$$xSchpostCouncil 22'!R$123</f>
        <v>0</v>
      </c>
      <c r="S72" s="43">
        <f>'$$xSchpostCouncil 22'!S72/'$$xSchpostCouncil 22'!S$123</f>
        <v>0</v>
      </c>
      <c r="T72" s="43">
        <f>'$$xSchpostCouncil 22'!T72/'$$xSchpostCouncil 22'!T$123</f>
        <v>0</v>
      </c>
      <c r="U72" s="6"/>
      <c r="V72" s="6"/>
      <c r="W72" s="6"/>
      <c r="X72" s="6"/>
      <c r="Y72" s="43">
        <f>'$$xSchpostCouncil 22'!Y72/'$$xSchpostCouncil 22'!Y$123</f>
        <v>0</v>
      </c>
      <c r="Z72" s="43">
        <f>'$$xSchpostCouncil 22'!Z72/'$$xSchpostCouncil 22'!Z$123</f>
        <v>0</v>
      </c>
      <c r="AA72" s="43">
        <f>'$$xSchpostCouncil 22'!AA72/'$$xSchpostCouncil 22'!AA$123</f>
        <v>0</v>
      </c>
      <c r="AB72" s="43">
        <f>'$$xSchpostCouncil 22'!AB72/'$$xSchpostCouncil 22'!AB$123</f>
        <v>0</v>
      </c>
      <c r="AC72" s="6"/>
      <c r="AD72" s="6">
        <v>121633</v>
      </c>
      <c r="AE72" s="43">
        <f>'$$xSchpostCouncil 22'!AE72/'$$xSchpostCouncil 22'!AE$123</f>
        <v>1</v>
      </c>
      <c r="AF72" s="43">
        <f>'$$xSchpostCouncil 22'!AF72/'$$xSchpostCouncil 22'!AF$123</f>
        <v>2</v>
      </c>
      <c r="AG72" s="43">
        <f>'$$xSchpostCouncil 22'!AG72/'$$xSchpostCouncil 22'!AG$123</f>
        <v>8</v>
      </c>
      <c r="AH72" s="43">
        <f>'$$xSchpostCouncil 22'!AH72/'$$xSchpostCouncil 22'!AH$123</f>
        <v>0</v>
      </c>
      <c r="AI72" s="43">
        <f>'$$xSchpostCouncil 22'!AI72/'$$xSchpostCouncil 22'!AI$123</f>
        <v>3</v>
      </c>
      <c r="AJ72" s="43"/>
      <c r="AK72" s="43">
        <f>'$$xSchpostCouncil 22'!AK72/'$$xSchpostCouncil 22'!AK$123</f>
        <v>1</v>
      </c>
      <c r="AL72" s="43">
        <f>'$$xSchpostCouncil 22'!AL72/'$$xSchpostCouncil 22'!AL$123</f>
        <v>0</v>
      </c>
      <c r="AM72" s="6"/>
      <c r="AN72" s="6"/>
      <c r="AO72" s="43">
        <f>'$$xSchpostCouncil 22'!AO72/'$$xSchpostCouncil 22'!AO$123</f>
        <v>1</v>
      </c>
      <c r="AP72" s="43">
        <f>'$$xSchpostCouncil 22'!AP72/'$$xSchpostCouncil 22'!AP$123</f>
        <v>0</v>
      </c>
      <c r="AQ72" s="43">
        <f>'$$xSchpostCouncil 22'!AQ72/'$$xSchpostCouncil 22'!AQ$123</f>
        <v>0</v>
      </c>
      <c r="AR72" s="6"/>
      <c r="AS72" s="6"/>
      <c r="AT72" s="6"/>
      <c r="AU72" s="6"/>
      <c r="AV72" s="6"/>
      <c r="AW72" s="6">
        <v>0</v>
      </c>
      <c r="AX72" s="6"/>
      <c r="AY72" s="6"/>
      <c r="AZ72" s="6">
        <v>95580.28</v>
      </c>
      <c r="BA72" s="6"/>
      <c r="BB72" s="6"/>
      <c r="BC72" s="43">
        <f>'$$xSchpostCouncil 22'!BC72/'$$xSchpostCouncil 22'!BC$123</f>
        <v>0</v>
      </c>
      <c r="BD72" s="43">
        <f>'$$xSchpostCouncil 22'!BD72/'$$xSchpostCouncil 22'!BD$123</f>
        <v>0</v>
      </c>
      <c r="BE72" s="6"/>
      <c r="BF72" s="6"/>
      <c r="BG72" s="6"/>
      <c r="BH72" s="43">
        <f>'$$xSchpostCouncil 22'!BH72/'$$xSchpostCouncil 22'!BH$123</f>
        <v>0</v>
      </c>
      <c r="BI72" s="6"/>
      <c r="BJ72" s="43">
        <f>'$$xSchpostCouncil 22'!BJ72/'$$xSchpostCouncil 22'!BJ$123</f>
        <v>0</v>
      </c>
      <c r="BK72" s="6"/>
      <c r="BL72" s="43">
        <f>'$$xSchpostCouncil 22'!BL72/'$$xSchpostCouncil 22'!BL$123</f>
        <v>0</v>
      </c>
      <c r="BM72" s="6"/>
      <c r="BN72" s="43">
        <f>'$$xSchpostCouncil 22'!BN72/'$$xSchpostCouncil 22'!BN$123</f>
        <v>0</v>
      </c>
      <c r="BO72" s="43">
        <f>'$$xSchpostCouncil 22'!BO72/'$$xSchpostCouncil 22'!BO$123</f>
        <v>0</v>
      </c>
      <c r="BP72" s="6"/>
      <c r="BQ72" s="6"/>
      <c r="BR72" s="6"/>
      <c r="BS72" s="6"/>
      <c r="BT72" s="6"/>
      <c r="BU72" s="43">
        <f>'$$xSchpostCouncil 22'!BU72/'$$xSchpostCouncil 22'!BU$123</f>
        <v>0</v>
      </c>
      <c r="BV72" s="43">
        <f>'$$xSchpostCouncil 22'!BV72/'$$xSchpostCouncil 22'!BV$123</f>
        <v>0</v>
      </c>
      <c r="BW72" s="43">
        <f>'$$xSchpostCouncil 22'!BW72/'$$xSchpostCouncil 22'!BW$123</f>
        <v>0</v>
      </c>
      <c r="BX72" s="6">
        <v>460737</v>
      </c>
      <c r="BY72" s="6"/>
      <c r="BZ72" s="6"/>
      <c r="CA72" s="6"/>
      <c r="CB72" s="6"/>
      <c r="CC72" s="6"/>
      <c r="CD72" s="6"/>
      <c r="CE72" s="6"/>
      <c r="CF72" s="6">
        <v>112569</v>
      </c>
      <c r="CI72" s="43">
        <f>'$$xSchpostCouncil 22'!CI72/'$$xSchpostCouncil 22'!CI$123</f>
        <v>1</v>
      </c>
      <c r="CJ72" s="43">
        <f>'$$xSchpostCouncil 22'!CJ72/'$$xSchpostCouncil 22'!CJ$123</f>
        <v>2</v>
      </c>
      <c r="CK72" s="43">
        <f>'$$xSchpostCouncil 22'!CK72/'$$xSchpostCouncil 22'!CK$123</f>
        <v>1</v>
      </c>
      <c r="CL72" s="43">
        <f>'$$xSchpostCouncil 22'!CL72/'$$xSchpostCouncil 22'!CL$123</f>
        <v>0</v>
      </c>
      <c r="CM72" s="43">
        <f>'$$xSchpostCouncil 22'!CM72/'$$xSchpostCouncil 22'!CM$123</f>
        <v>0</v>
      </c>
      <c r="CN72" s="43">
        <f>'$$xSchpostCouncil 22'!CN72/'$$xSchpostCouncil 22'!CN$123</f>
        <v>0</v>
      </c>
      <c r="CO72" s="43">
        <f>'$$xSchpostCouncil 22'!CO72/'$$xSchpostCouncil 22'!CO$123</f>
        <v>0</v>
      </c>
      <c r="CP72" s="43">
        <f>'$$xSchpostCouncil 22'!CP72/'$$xSchpostCouncil 22'!CP$123</f>
        <v>0</v>
      </c>
      <c r="CQ72" s="43">
        <f>'$$xSchpostCouncil 22'!CQ72/'$$xSchpostCouncil 22'!CQ$123</f>
        <v>13.50000444172019</v>
      </c>
      <c r="CR72" s="43">
        <f>'$$xSchpostCouncil 22'!CR72/'$$xSchpostCouncil 22'!CR$123</f>
        <v>2</v>
      </c>
      <c r="CS72" s="6">
        <v>23000</v>
      </c>
      <c r="CT72" s="6">
        <v>5000</v>
      </c>
      <c r="CU72" s="6">
        <v>100000</v>
      </c>
      <c r="CV72" s="43">
        <f>'$$xSchpostCouncil 22'!CV72/'$$xSchpostCouncil 22'!CV$123</f>
        <v>0</v>
      </c>
      <c r="CW72" s="43">
        <f>'$$xSchpostCouncil 22'!CW72/'$$xSchpostCouncil 22'!CW$123</f>
        <v>0</v>
      </c>
      <c r="CX72" s="6">
        <v>0</v>
      </c>
      <c r="CY72" s="6">
        <v>75000</v>
      </c>
      <c r="CZ72" s="6"/>
      <c r="DB72" s="43">
        <f>'$$xSchpostCouncil 22'!DB72/'$$xSchpostCouncil 22'!DB$123</f>
        <v>0</v>
      </c>
      <c r="DC72" s="43">
        <f>'$$xSchpostCouncil 22'!DC72/'$$xSchpostCouncil 22'!DC$123</f>
        <v>0</v>
      </c>
      <c r="DF72" s="43">
        <f>'$$xSchpostCouncil 22'!DF72/'$$xSchpostCouncil 22'!DF$123</f>
        <v>0</v>
      </c>
      <c r="DG72" s="43">
        <f>'$$xSchpostCouncil 22'!DG72/'$$xSchpostCouncil 22'!DG$123</f>
        <v>0</v>
      </c>
      <c r="DH72" s="43">
        <f>'$$xSchpostCouncil 22'!DH72/'$$xSchpostCouncil 22'!DH$123</f>
        <v>0</v>
      </c>
      <c r="DI72" s="43">
        <f>'$$xSchpostCouncil 22'!DI72/'$$xSchpostCouncil 22'!DI$123</f>
        <v>0</v>
      </c>
      <c r="DJ72" s="43">
        <f>'$$xSchpostCouncil 22'!DJ72/'$$xSchpostCouncil 22'!DJ$123</f>
        <v>0</v>
      </c>
      <c r="DK72" s="43">
        <f>'$$xSchpostCouncil 22'!DK72/'$$xSchpostCouncil 22'!DK$123</f>
        <v>0</v>
      </c>
      <c r="DL72" s="6">
        <v>3645</v>
      </c>
      <c r="DM72" s="6"/>
      <c r="DN72" s="43">
        <f>'$$xSchpostCouncil 22'!DN72/'$$xSchpostCouncil 22'!DN$123</f>
        <v>0</v>
      </c>
      <c r="DO72" s="6"/>
      <c r="DP72" s="6">
        <v>42000</v>
      </c>
      <c r="DU72" s="6">
        <f>VLOOKUP($A72,[3]Totals!$B$2:$K$119,10,FALSE)</f>
        <v>117407.34</v>
      </c>
      <c r="DV72" s="6">
        <f>VLOOKUP($A72,[3]Totals!$B$2:$K$119,9,FALSE)</f>
        <v>0</v>
      </c>
    </row>
    <row r="73" spans="1:126" x14ac:dyDescent="0.2">
      <c r="A73" s="3">
        <v>458</v>
      </c>
      <c r="B73" s="2" t="s">
        <v>56</v>
      </c>
      <c r="C73" t="s">
        <v>1</v>
      </c>
      <c r="D73">
        <v>5</v>
      </c>
      <c r="E73" s="1">
        <v>696</v>
      </c>
      <c r="F73" s="4">
        <v>0.38500000000000001</v>
      </c>
      <c r="G73">
        <v>268</v>
      </c>
      <c r="H73" s="43">
        <f>'$$xSchpostCouncil 22'!H73/'$$xSchpostCouncil 22'!H$123</f>
        <v>0.50000256046539016</v>
      </c>
      <c r="I73" s="43">
        <f>'$$xSchpostCouncil 22'!I73/'$$xSchpostCouncil 22'!I$123</f>
        <v>0</v>
      </c>
      <c r="J73" s="43">
        <f>'$$xSchpostCouncil 22'!J73/'$$xSchpostCouncil 22'!J$123</f>
        <v>3</v>
      </c>
      <c r="K73" s="43">
        <f>'$$xSchpostCouncil 22'!K73/'$$xSchpostCouncil 22'!K$123</f>
        <v>1</v>
      </c>
      <c r="L73" s="6">
        <v>17681</v>
      </c>
      <c r="M73" s="43">
        <f>'$$xSchpostCouncil 22'!M73/'$$xSchpostCouncil 22'!M$123</f>
        <v>1</v>
      </c>
      <c r="N73" s="43">
        <f>'$$xSchpostCouncil 22'!N73/'$$xSchpostCouncil 22'!N$123</f>
        <v>1</v>
      </c>
      <c r="O73" s="43">
        <f>'$$xSchpostCouncil 22'!O73/'$$xSchpostCouncil 22'!O$123</f>
        <v>6</v>
      </c>
      <c r="P73" s="43">
        <f>'$$xSchpostCouncil 22'!P73/'$$xSchpostCouncil 22'!P$123</f>
        <v>1</v>
      </c>
      <c r="Q73" s="43">
        <f>'$$xSchpostCouncil 22'!Q73/'$$xSchpostCouncil 22'!Q$123</f>
        <v>0</v>
      </c>
      <c r="R73" s="43">
        <f>'$$xSchpostCouncil 22'!R73/'$$xSchpostCouncil 22'!R$123</f>
        <v>0</v>
      </c>
      <c r="S73" s="43">
        <f>'$$xSchpostCouncil 22'!S73/'$$xSchpostCouncil 22'!S$123</f>
        <v>0</v>
      </c>
      <c r="T73" s="43">
        <f>'$$xSchpostCouncil 22'!T73/'$$xSchpostCouncil 22'!T$123</f>
        <v>0</v>
      </c>
      <c r="U73" s="6"/>
      <c r="V73" s="6"/>
      <c r="W73" s="6"/>
      <c r="X73" s="6"/>
      <c r="Y73" s="43">
        <f>'$$xSchpostCouncil 22'!Y73/'$$xSchpostCouncil 22'!Y$123</f>
        <v>0</v>
      </c>
      <c r="Z73" s="43">
        <f>'$$xSchpostCouncil 22'!Z73/'$$xSchpostCouncil 22'!Z$123</f>
        <v>0</v>
      </c>
      <c r="AA73" s="43">
        <f>'$$xSchpostCouncil 22'!AA73/'$$xSchpostCouncil 22'!AA$123</f>
        <v>1</v>
      </c>
      <c r="AB73" s="43">
        <f>'$$xSchpostCouncil 22'!AB73/'$$xSchpostCouncil 22'!AB$123</f>
        <v>1</v>
      </c>
      <c r="AC73" s="6"/>
      <c r="AD73" s="6">
        <v>244152</v>
      </c>
      <c r="AE73" s="43">
        <f>'$$xSchpostCouncil 22'!AE73/'$$xSchpostCouncil 22'!AE$123</f>
        <v>1</v>
      </c>
      <c r="AF73" s="43">
        <f>'$$xSchpostCouncil 22'!AF73/'$$xSchpostCouncil 22'!AF$123</f>
        <v>2</v>
      </c>
      <c r="AG73" s="43">
        <f>'$$xSchpostCouncil 22'!AG73/'$$xSchpostCouncil 22'!AG$123</f>
        <v>2</v>
      </c>
      <c r="AH73" s="43">
        <f>'$$xSchpostCouncil 22'!AH73/'$$xSchpostCouncil 22'!AH$123</f>
        <v>0</v>
      </c>
      <c r="AI73" s="43">
        <f>'$$xSchpostCouncil 22'!AI73/'$$xSchpostCouncil 22'!AI$123</f>
        <v>0</v>
      </c>
      <c r="AJ73" s="43"/>
      <c r="AK73" s="43">
        <f>'$$xSchpostCouncil 22'!AK73/'$$xSchpostCouncil 22'!AK$123</f>
        <v>0</v>
      </c>
      <c r="AL73" s="43">
        <f>'$$xSchpostCouncil 22'!AL73/'$$xSchpostCouncil 22'!AL$123</f>
        <v>0</v>
      </c>
      <c r="AM73" s="6"/>
      <c r="AN73" s="6"/>
      <c r="AO73" s="43">
        <f>'$$xSchpostCouncil 22'!AO73/'$$xSchpostCouncil 22'!AO$123</f>
        <v>1</v>
      </c>
      <c r="AP73" s="43">
        <f>'$$xSchpostCouncil 22'!AP73/'$$xSchpostCouncil 22'!AP$123</f>
        <v>0</v>
      </c>
      <c r="AQ73" s="43">
        <f>'$$xSchpostCouncil 22'!AQ73/'$$xSchpostCouncil 22'!AQ$123</f>
        <v>0</v>
      </c>
      <c r="AR73" s="6"/>
      <c r="AS73" s="6"/>
      <c r="AT73" s="6"/>
      <c r="AU73" s="6"/>
      <c r="AV73" s="6"/>
      <c r="AW73" s="6">
        <v>0</v>
      </c>
      <c r="AX73" s="6"/>
      <c r="AY73" s="6"/>
      <c r="AZ73" s="6">
        <v>221740.13999999998</v>
      </c>
      <c r="BA73" s="6"/>
      <c r="BB73" s="6"/>
      <c r="BC73" s="43">
        <f>'$$xSchpostCouncil 22'!BC73/'$$xSchpostCouncil 22'!BC$123</f>
        <v>0</v>
      </c>
      <c r="BD73" s="43">
        <f>'$$xSchpostCouncil 22'!BD73/'$$xSchpostCouncil 22'!BD$123</f>
        <v>0</v>
      </c>
      <c r="BE73" s="6"/>
      <c r="BF73" s="6"/>
      <c r="BG73" s="6"/>
      <c r="BH73" s="43">
        <f>'$$xSchpostCouncil 22'!BH73/'$$xSchpostCouncil 22'!BH$123</f>
        <v>0</v>
      </c>
      <c r="BI73" s="6"/>
      <c r="BJ73" s="43">
        <f>'$$xSchpostCouncil 22'!BJ73/'$$xSchpostCouncil 22'!BJ$123</f>
        <v>0</v>
      </c>
      <c r="BK73" s="6"/>
      <c r="BL73" s="43">
        <f>'$$xSchpostCouncil 22'!BL73/'$$xSchpostCouncil 22'!BL$123</f>
        <v>0</v>
      </c>
      <c r="BM73" s="6"/>
      <c r="BN73" s="43">
        <f>'$$xSchpostCouncil 22'!BN73/'$$xSchpostCouncil 22'!BN$123</f>
        <v>0</v>
      </c>
      <c r="BO73" s="43">
        <f>'$$xSchpostCouncil 22'!BO73/'$$xSchpostCouncil 22'!BO$123</f>
        <v>0</v>
      </c>
      <c r="BP73" s="6"/>
      <c r="BQ73" s="6"/>
      <c r="BR73" s="6"/>
      <c r="BS73" s="6">
        <v>1680585</v>
      </c>
      <c r="BT73" s="6"/>
      <c r="BU73" s="43">
        <f>'$$xSchpostCouncil 22'!BU73/'$$xSchpostCouncil 22'!BU$123</f>
        <v>7.8947368421052627E-2</v>
      </c>
      <c r="BV73" s="43">
        <f>'$$xSchpostCouncil 22'!BV73/'$$xSchpostCouncil 22'!BV$123</f>
        <v>0</v>
      </c>
      <c r="BW73" s="43">
        <f>'$$xSchpostCouncil 22'!BW73/'$$xSchpostCouncil 22'!BW$123</f>
        <v>1</v>
      </c>
      <c r="BX73" s="6">
        <v>752199</v>
      </c>
      <c r="BY73" s="6"/>
      <c r="BZ73" s="6"/>
      <c r="CA73" s="6"/>
      <c r="CB73" s="6"/>
      <c r="CC73" s="6"/>
      <c r="CD73" s="6"/>
      <c r="CE73" s="6">
        <v>112569</v>
      </c>
      <c r="CF73" s="6">
        <v>0</v>
      </c>
      <c r="CI73" s="43">
        <f>'$$xSchpostCouncil 22'!CI73/'$$xSchpostCouncil 22'!CI$123</f>
        <v>1</v>
      </c>
      <c r="CJ73" s="43">
        <f>'$$xSchpostCouncil 22'!CJ73/'$$xSchpostCouncil 22'!CJ$123</f>
        <v>2.3000019165777585</v>
      </c>
      <c r="CK73" s="43">
        <f>'$$xSchpostCouncil 22'!CK73/'$$xSchpostCouncil 22'!CK$123</f>
        <v>1</v>
      </c>
      <c r="CL73" s="43">
        <f>'$$xSchpostCouncil 22'!CL73/'$$xSchpostCouncil 22'!CL$123</f>
        <v>1.6999940757123957</v>
      </c>
      <c r="CM73" s="43">
        <f>'$$xSchpostCouncil 22'!CM73/'$$xSchpostCouncil 22'!CM$123</f>
        <v>1</v>
      </c>
      <c r="CN73" s="43">
        <f>'$$xSchpostCouncil 22'!CN73/'$$xSchpostCouncil 22'!CN$123</f>
        <v>1</v>
      </c>
      <c r="CO73" s="43">
        <f>'$$xSchpostCouncil 22'!CO73/'$$xSchpostCouncil 22'!CO$123</f>
        <v>0</v>
      </c>
      <c r="CP73" s="43">
        <f>'$$xSchpostCouncil 22'!CP73/'$$xSchpostCouncil 22'!CP$123</f>
        <v>0</v>
      </c>
      <c r="CQ73" s="43">
        <f>'$$xSchpostCouncil 22'!CQ73/'$$xSchpostCouncil 22'!CQ$123</f>
        <v>29.000000888344033</v>
      </c>
      <c r="CR73" s="43">
        <f>'$$xSchpostCouncil 22'!CR73/'$$xSchpostCouncil 22'!CR$123</f>
        <v>0</v>
      </c>
      <c r="CS73" s="6"/>
      <c r="CT73" s="6"/>
      <c r="CU73" s="6"/>
      <c r="CV73" s="43">
        <f>'$$xSchpostCouncil 22'!CV73/'$$xSchpostCouncil 22'!CV$123</f>
        <v>1</v>
      </c>
      <c r="CW73" s="43">
        <f>'$$xSchpostCouncil 22'!CW73/'$$xSchpostCouncil 22'!CW$123</f>
        <v>0</v>
      </c>
      <c r="CX73" s="6">
        <v>43128.2</v>
      </c>
      <c r="CY73" s="6"/>
      <c r="CZ73" s="6"/>
      <c r="DB73" s="43">
        <f>'$$xSchpostCouncil 22'!DB73/'$$xSchpostCouncil 22'!DB$123</f>
        <v>0</v>
      </c>
      <c r="DC73" s="43">
        <f>'$$xSchpostCouncil 22'!DC73/'$$xSchpostCouncil 22'!DC$123</f>
        <v>0</v>
      </c>
      <c r="DF73" s="43">
        <f>'$$xSchpostCouncil 22'!DF73/'$$xSchpostCouncil 22'!DF$123</f>
        <v>0</v>
      </c>
      <c r="DG73" s="43">
        <f>'$$xSchpostCouncil 22'!DG73/'$$xSchpostCouncil 22'!DG$123</f>
        <v>0</v>
      </c>
      <c r="DH73" s="43">
        <f>'$$xSchpostCouncil 22'!DH73/'$$xSchpostCouncil 22'!DH$123</f>
        <v>0.10000000000000142</v>
      </c>
      <c r="DI73" s="43">
        <f>'$$xSchpostCouncil 22'!DI73/'$$xSchpostCouncil 22'!DI$123</f>
        <v>0</v>
      </c>
      <c r="DJ73" s="43">
        <f>'$$xSchpostCouncil 22'!DJ73/'$$xSchpostCouncil 22'!DJ$123</f>
        <v>0</v>
      </c>
      <c r="DK73" s="43">
        <f>'$$xSchpostCouncil 22'!DK73/'$$xSchpostCouncil 22'!DK$123</f>
        <v>0</v>
      </c>
      <c r="DL73" s="6">
        <v>5353</v>
      </c>
      <c r="DM73" s="6"/>
      <c r="DN73" s="43">
        <f>'$$xSchpostCouncil 22'!DN73/'$$xSchpostCouncil 22'!DN$123</f>
        <v>0</v>
      </c>
      <c r="DO73" s="6"/>
      <c r="DP73" s="6">
        <v>3150</v>
      </c>
      <c r="DU73" s="6">
        <f>VLOOKUP($A73,[3]Totals!$B$2:$K$119,10,FALSE)</f>
        <v>199841.22</v>
      </c>
      <c r="DV73" s="6">
        <f>VLOOKUP($A73,[3]Totals!$B$2:$K$119,9,FALSE)</f>
        <v>156529</v>
      </c>
    </row>
    <row r="74" spans="1:126" x14ac:dyDescent="0.2">
      <c r="A74" s="3">
        <v>1165</v>
      </c>
      <c r="B74" s="2" t="s">
        <v>55</v>
      </c>
      <c r="C74" t="s">
        <v>7</v>
      </c>
      <c r="D74">
        <v>4</v>
      </c>
      <c r="E74" s="1">
        <v>73</v>
      </c>
      <c r="F74" s="4">
        <v>0.50700000000000001</v>
      </c>
      <c r="G74">
        <v>37</v>
      </c>
      <c r="H74" s="43">
        <f>'$$xSchpostCouncil 22'!H74/'$$xSchpostCouncil 22'!H$123</f>
        <v>1</v>
      </c>
      <c r="I74" s="43">
        <f>'$$xSchpostCouncil 22'!I74/'$$xSchpostCouncil 22'!I$123</f>
        <v>0</v>
      </c>
      <c r="J74" s="43">
        <f>'$$xSchpostCouncil 22'!J74/'$$xSchpostCouncil 22'!J$123</f>
        <v>0</v>
      </c>
      <c r="K74" s="43">
        <f>'$$xSchpostCouncil 22'!K74/'$$xSchpostCouncil 22'!K$123</f>
        <v>1</v>
      </c>
      <c r="L74" s="6"/>
      <c r="M74" s="43">
        <f>'$$xSchpostCouncil 22'!M74/'$$xSchpostCouncil 22'!M$123</f>
        <v>1</v>
      </c>
      <c r="N74" s="43">
        <f>'$$xSchpostCouncil 22'!N74/'$$xSchpostCouncil 22'!N$123</f>
        <v>1</v>
      </c>
      <c r="O74" s="43">
        <f>'$$xSchpostCouncil 22'!O74/'$$xSchpostCouncil 22'!O$123</f>
        <v>1</v>
      </c>
      <c r="P74" s="43">
        <f>'$$xSchpostCouncil 22'!P74/'$$xSchpostCouncil 22'!P$123</f>
        <v>1.0000006218408266</v>
      </c>
      <c r="Q74" s="43">
        <f>'$$xSchpostCouncil 22'!Q74/'$$xSchpostCouncil 22'!Q$123</f>
        <v>2</v>
      </c>
      <c r="R74" s="43">
        <f>'$$xSchpostCouncil 22'!R74/'$$xSchpostCouncil 22'!R$123</f>
        <v>0</v>
      </c>
      <c r="S74" s="43">
        <f>'$$xSchpostCouncil 22'!S74/'$$xSchpostCouncil 22'!S$123</f>
        <v>2</v>
      </c>
      <c r="T74" s="43">
        <f>'$$xSchpostCouncil 22'!T74/'$$xSchpostCouncil 22'!T$123</f>
        <v>4</v>
      </c>
      <c r="U74" s="6"/>
      <c r="V74" s="6"/>
      <c r="W74" s="6"/>
      <c r="X74" s="6"/>
      <c r="Y74" s="43">
        <f>'$$xSchpostCouncil 22'!Y74/'$$xSchpostCouncil 22'!Y$123</f>
        <v>0</v>
      </c>
      <c r="Z74" s="43">
        <f>'$$xSchpostCouncil 22'!Z74/'$$xSchpostCouncil 22'!Z$123</f>
        <v>0</v>
      </c>
      <c r="AA74" s="43">
        <f>'$$xSchpostCouncil 22'!AA74/'$$xSchpostCouncil 22'!AA$123</f>
        <v>0</v>
      </c>
      <c r="AB74" s="43">
        <f>'$$xSchpostCouncil 22'!AB74/'$$xSchpostCouncil 22'!AB$123</f>
        <v>0</v>
      </c>
      <c r="AC74" s="6"/>
      <c r="AD74" s="6">
        <v>84066</v>
      </c>
      <c r="AE74" s="43">
        <f>'$$xSchpostCouncil 22'!AE74/'$$xSchpostCouncil 22'!AE$123</f>
        <v>0</v>
      </c>
      <c r="AF74" s="43">
        <f>'$$xSchpostCouncil 22'!AF74/'$$xSchpostCouncil 22'!AF$123</f>
        <v>0</v>
      </c>
      <c r="AG74" s="43">
        <f>'$$xSchpostCouncil 22'!AG74/'$$xSchpostCouncil 22'!AG$123</f>
        <v>4</v>
      </c>
      <c r="AH74" s="43">
        <f>'$$xSchpostCouncil 22'!AH74/'$$xSchpostCouncil 22'!AH$123</f>
        <v>0</v>
      </c>
      <c r="AI74" s="43">
        <f>'$$xSchpostCouncil 22'!AI74/'$$xSchpostCouncil 22'!AI$123</f>
        <v>3</v>
      </c>
      <c r="AJ74" s="43"/>
      <c r="AK74" s="43">
        <f>'$$xSchpostCouncil 22'!AK74/'$$xSchpostCouncil 22'!AK$123</f>
        <v>0</v>
      </c>
      <c r="AL74" s="43">
        <f>'$$xSchpostCouncil 22'!AL74/'$$xSchpostCouncil 22'!AL$123</f>
        <v>0</v>
      </c>
      <c r="AM74" s="6"/>
      <c r="AN74" s="6"/>
      <c r="AO74" s="43">
        <f>'$$xSchpostCouncil 22'!AO74/'$$xSchpostCouncil 22'!AO$123</f>
        <v>0</v>
      </c>
      <c r="AP74" s="43">
        <f>'$$xSchpostCouncil 22'!AP74/'$$xSchpostCouncil 22'!AP$123</f>
        <v>0.36000142135046059</v>
      </c>
      <c r="AQ74" s="43">
        <f>'$$xSchpostCouncil 22'!AQ74/'$$xSchpostCouncil 22'!AQ$123</f>
        <v>0</v>
      </c>
      <c r="AR74" s="6"/>
      <c r="AS74" s="6"/>
      <c r="AT74" s="6"/>
      <c r="AU74" s="6"/>
      <c r="AV74" s="6"/>
      <c r="AW74" s="6">
        <v>0</v>
      </c>
      <c r="AX74" s="6"/>
      <c r="AY74" s="6"/>
      <c r="AZ74" s="6">
        <v>14255.19</v>
      </c>
      <c r="BA74" s="6"/>
      <c r="BB74" s="6"/>
      <c r="BC74" s="43">
        <f>'$$xSchpostCouncil 22'!BC74/'$$xSchpostCouncil 22'!BC$123</f>
        <v>0</v>
      </c>
      <c r="BD74" s="43">
        <f>'$$xSchpostCouncil 22'!BD74/'$$xSchpostCouncil 22'!BD$123</f>
        <v>0</v>
      </c>
      <c r="BE74" s="6"/>
      <c r="BF74" s="6"/>
      <c r="BG74" s="6"/>
      <c r="BH74" s="43">
        <f>'$$xSchpostCouncil 22'!BH74/'$$xSchpostCouncil 22'!BH$123</f>
        <v>0</v>
      </c>
      <c r="BI74" s="6"/>
      <c r="BJ74" s="43">
        <f>'$$xSchpostCouncil 22'!BJ74/'$$xSchpostCouncil 22'!BJ$123</f>
        <v>0</v>
      </c>
      <c r="BK74" s="6"/>
      <c r="BL74" s="43">
        <f>'$$xSchpostCouncil 22'!BL74/'$$xSchpostCouncil 22'!BL$123</f>
        <v>0</v>
      </c>
      <c r="BM74" s="6"/>
      <c r="BN74" s="43">
        <f>'$$xSchpostCouncil 22'!BN74/'$$xSchpostCouncil 22'!BN$123</f>
        <v>0</v>
      </c>
      <c r="BO74" s="43">
        <f>'$$xSchpostCouncil 22'!BO74/'$$xSchpostCouncil 22'!BO$123</f>
        <v>0</v>
      </c>
      <c r="BP74" s="6"/>
      <c r="BQ74" s="6"/>
      <c r="BR74" s="6"/>
      <c r="BS74" s="6"/>
      <c r="BT74" s="6"/>
      <c r="BU74" s="43">
        <f>'$$xSchpostCouncil 22'!BU74/'$$xSchpostCouncil 22'!BU$123</f>
        <v>0</v>
      </c>
      <c r="BV74" s="43">
        <f>'$$xSchpostCouncil 22'!BV74/'$$xSchpostCouncil 22'!BV$123</f>
        <v>0</v>
      </c>
      <c r="BW74" s="43">
        <f>'$$xSchpostCouncil 22'!BW74/'$$xSchpostCouncil 22'!BW$123</f>
        <v>0</v>
      </c>
      <c r="BX74" s="6">
        <v>93666</v>
      </c>
      <c r="BY74" s="6"/>
      <c r="BZ74" s="6"/>
      <c r="CA74" s="6"/>
      <c r="CB74" s="6"/>
      <c r="CC74" s="6"/>
      <c r="CD74" s="6"/>
      <c r="CE74" s="6"/>
      <c r="CI74" s="43">
        <f>'$$xSchpostCouncil 22'!CI74/'$$xSchpostCouncil 22'!CI$123</f>
        <v>1</v>
      </c>
      <c r="CJ74" s="43">
        <f>'$$xSchpostCouncil 22'!CJ74/'$$xSchpostCouncil 22'!CJ$123</f>
        <v>0</v>
      </c>
      <c r="CK74" s="43">
        <f>'$$xSchpostCouncil 22'!CK74/'$$xSchpostCouncil 22'!CK$123</f>
        <v>0.50000550182110282</v>
      </c>
      <c r="CL74" s="43">
        <f>'$$xSchpostCouncil 22'!CL74/'$$xSchpostCouncil 22'!CL$123</f>
        <v>0</v>
      </c>
      <c r="CM74" s="43">
        <f>'$$xSchpostCouncil 22'!CM74/'$$xSchpostCouncil 22'!CM$123</f>
        <v>0</v>
      </c>
      <c r="CN74" s="43">
        <f>'$$xSchpostCouncil 22'!CN74/'$$xSchpostCouncil 22'!CN$123</f>
        <v>0</v>
      </c>
      <c r="CO74" s="43">
        <f>'$$xSchpostCouncil 22'!CO74/'$$xSchpostCouncil 22'!CO$123</f>
        <v>3</v>
      </c>
      <c r="CP74" s="43">
        <f>'$$xSchpostCouncil 22'!CP74/'$$xSchpostCouncil 22'!CP$123</f>
        <v>0</v>
      </c>
      <c r="CQ74" s="43">
        <f>'$$xSchpostCouncil 22'!CQ74/'$$xSchpostCouncil 22'!CQ$123</f>
        <v>0</v>
      </c>
      <c r="CR74" s="43">
        <f>'$$xSchpostCouncil 22'!CR74/'$$xSchpostCouncil 22'!CR$123</f>
        <v>0</v>
      </c>
      <c r="CS74" s="6"/>
      <c r="CT74" s="6"/>
      <c r="CU74" s="6"/>
      <c r="CV74" s="43">
        <f>'$$xSchpostCouncil 22'!CV74/'$$xSchpostCouncil 22'!CV$123</f>
        <v>0</v>
      </c>
      <c r="CW74" s="43">
        <f>'$$xSchpostCouncil 22'!CW74/'$$xSchpostCouncil 22'!CW$123</f>
        <v>0</v>
      </c>
      <c r="CX74" s="6">
        <v>0</v>
      </c>
      <c r="CY74" s="6"/>
      <c r="CZ74" s="6"/>
      <c r="DB74" s="43">
        <f>'$$xSchpostCouncil 22'!DB74/'$$xSchpostCouncil 22'!DB$123</f>
        <v>0</v>
      </c>
      <c r="DC74" s="43">
        <f>'$$xSchpostCouncil 22'!DC74/'$$xSchpostCouncil 22'!DC$123</f>
        <v>0</v>
      </c>
      <c r="DF74" s="43">
        <f>'$$xSchpostCouncil 22'!DF74/'$$xSchpostCouncil 22'!DF$123</f>
        <v>0</v>
      </c>
      <c r="DG74" s="43">
        <f>'$$xSchpostCouncil 22'!DG74/'$$xSchpostCouncil 22'!DG$123</f>
        <v>0</v>
      </c>
      <c r="DH74" s="43">
        <f>'$$xSchpostCouncil 22'!DH74/'$$xSchpostCouncil 22'!DH$123</f>
        <v>0</v>
      </c>
      <c r="DI74" s="43">
        <f>'$$xSchpostCouncil 22'!DI74/'$$xSchpostCouncil 22'!DI$123</f>
        <v>0</v>
      </c>
      <c r="DJ74" s="43">
        <f>'$$xSchpostCouncil 22'!DJ74/'$$xSchpostCouncil 22'!DJ$123</f>
        <v>0</v>
      </c>
      <c r="DK74" s="43">
        <f>'$$xSchpostCouncil 22'!DK74/'$$xSchpostCouncil 22'!DK$123</f>
        <v>0</v>
      </c>
      <c r="DL74" s="6"/>
      <c r="DM74" s="6"/>
      <c r="DN74" s="43">
        <f>'$$xSchpostCouncil 22'!DN74/'$$xSchpostCouncil 22'!DN$123</f>
        <v>0</v>
      </c>
      <c r="DO74" s="6"/>
      <c r="DP74" s="6">
        <v>4322</v>
      </c>
      <c r="DU74" s="6">
        <f>VLOOKUP($A74,[3]Totals!$B$2:$K$119,10,FALSE)</f>
        <v>45000</v>
      </c>
      <c r="DV74" s="6">
        <f>VLOOKUP($A74,[3]Totals!$B$2:$K$119,9,FALSE)</f>
        <v>0</v>
      </c>
    </row>
    <row r="75" spans="1:126" x14ac:dyDescent="0.2">
      <c r="A75" s="3">
        <v>280</v>
      </c>
      <c r="B75" s="2" t="s">
        <v>54</v>
      </c>
      <c r="C75" t="s">
        <v>7</v>
      </c>
      <c r="D75">
        <v>6</v>
      </c>
      <c r="E75" s="1">
        <v>418</v>
      </c>
      <c r="F75" s="4">
        <v>0.63900000000000001</v>
      </c>
      <c r="G75">
        <v>267</v>
      </c>
      <c r="H75" s="43">
        <f>'$$xSchpostCouncil 22'!H75/'$$xSchpostCouncil 22'!H$123</f>
        <v>1</v>
      </c>
      <c r="I75" s="43">
        <f>'$$xSchpostCouncil 22'!I75/'$$xSchpostCouncil 22'!I$123</f>
        <v>0</v>
      </c>
      <c r="J75" s="43">
        <f>'$$xSchpostCouncil 22'!J75/'$$xSchpostCouncil 22'!J$123</f>
        <v>0</v>
      </c>
      <c r="K75" s="43">
        <f>'$$xSchpostCouncil 22'!K75/'$$xSchpostCouncil 22'!K$123</f>
        <v>1</v>
      </c>
      <c r="L75" s="6">
        <v>5378</v>
      </c>
      <c r="M75" s="43">
        <f>'$$xSchpostCouncil 22'!M75/'$$xSchpostCouncil 22'!M$123</f>
        <v>1</v>
      </c>
      <c r="N75" s="43">
        <f>'$$xSchpostCouncil 22'!N75/'$$xSchpostCouncil 22'!N$123</f>
        <v>1</v>
      </c>
      <c r="O75" s="43">
        <f>'$$xSchpostCouncil 22'!O75/'$$xSchpostCouncil 22'!O$123</f>
        <v>2</v>
      </c>
      <c r="P75" s="43">
        <f>'$$xSchpostCouncil 22'!P75/'$$xSchpostCouncil 22'!P$123</f>
        <v>1</v>
      </c>
      <c r="Q75" s="43">
        <f>'$$xSchpostCouncil 22'!Q75/'$$xSchpostCouncil 22'!Q$123</f>
        <v>3</v>
      </c>
      <c r="R75" s="43">
        <f>'$$xSchpostCouncil 22'!R75/'$$xSchpostCouncil 22'!R$123</f>
        <v>1</v>
      </c>
      <c r="S75" s="43">
        <f>'$$xSchpostCouncil 22'!S75/'$$xSchpostCouncil 22'!S$123</f>
        <v>4</v>
      </c>
      <c r="T75" s="43">
        <f>'$$xSchpostCouncil 22'!T75/'$$xSchpostCouncil 22'!T$123</f>
        <v>8</v>
      </c>
      <c r="U75" s="6"/>
      <c r="V75" s="6"/>
      <c r="W75" s="6"/>
      <c r="X75" s="6"/>
      <c r="Y75" s="43">
        <f>'$$xSchpostCouncil 22'!Y75/'$$xSchpostCouncil 22'!Y$123</f>
        <v>0</v>
      </c>
      <c r="Z75" s="43">
        <f>'$$xSchpostCouncil 22'!Z75/'$$xSchpostCouncil 22'!Z$123</f>
        <v>0</v>
      </c>
      <c r="AA75" s="43">
        <f>'$$xSchpostCouncil 22'!AA75/'$$xSchpostCouncil 22'!AA$123</f>
        <v>0</v>
      </c>
      <c r="AB75" s="43">
        <f>'$$xSchpostCouncil 22'!AB75/'$$xSchpostCouncil 22'!AB$123</f>
        <v>0</v>
      </c>
      <c r="AC75" s="6"/>
      <c r="AD75" s="6">
        <v>162348</v>
      </c>
      <c r="AE75" s="43">
        <f>'$$xSchpostCouncil 22'!AE75/'$$xSchpostCouncil 22'!AE$123</f>
        <v>1</v>
      </c>
      <c r="AF75" s="43">
        <f>'$$xSchpostCouncil 22'!AF75/'$$xSchpostCouncil 22'!AF$123</f>
        <v>2</v>
      </c>
      <c r="AG75" s="43">
        <f>'$$xSchpostCouncil 22'!AG75/'$$xSchpostCouncil 22'!AG$123</f>
        <v>8</v>
      </c>
      <c r="AH75" s="43">
        <f>'$$xSchpostCouncil 22'!AH75/'$$xSchpostCouncil 22'!AH$123</f>
        <v>0</v>
      </c>
      <c r="AI75" s="43">
        <f>'$$xSchpostCouncil 22'!AI75/'$$xSchpostCouncil 22'!AI$123</f>
        <v>5</v>
      </c>
      <c r="AJ75" s="43"/>
      <c r="AK75" s="43">
        <f>'$$xSchpostCouncil 22'!AK75/'$$xSchpostCouncil 22'!AK$123</f>
        <v>0</v>
      </c>
      <c r="AL75" s="43">
        <f>'$$xSchpostCouncil 22'!AL75/'$$xSchpostCouncil 22'!AL$123</f>
        <v>0</v>
      </c>
      <c r="AM75" s="6"/>
      <c r="AN75" s="6"/>
      <c r="AO75" s="43">
        <f>'$$xSchpostCouncil 22'!AO75/'$$xSchpostCouncil 22'!AO$123</f>
        <v>1</v>
      </c>
      <c r="AP75" s="43">
        <f>'$$xSchpostCouncil 22'!AP75/'$$xSchpostCouncil 22'!AP$123</f>
        <v>0</v>
      </c>
      <c r="AQ75" s="43">
        <f>'$$xSchpostCouncil 22'!AQ75/'$$xSchpostCouncil 22'!AQ$123</f>
        <v>0</v>
      </c>
      <c r="AR75" s="6"/>
      <c r="AS75" s="6">
        <f>40800-20400</f>
        <v>20400</v>
      </c>
      <c r="AT75" s="6">
        <f>40800-20400</f>
        <v>20400</v>
      </c>
      <c r="AU75" s="6">
        <v>10200</v>
      </c>
      <c r="AV75" s="6"/>
      <c r="AW75" s="6">
        <v>40800</v>
      </c>
      <c r="AX75" s="6"/>
      <c r="AY75" s="6"/>
      <c r="AZ75" s="6">
        <v>189533.42</v>
      </c>
      <c r="BA75" s="6"/>
      <c r="BB75" s="6"/>
      <c r="BC75" s="43">
        <f>'$$xSchpostCouncil 22'!BC75/'$$xSchpostCouncil 22'!BC$123</f>
        <v>0</v>
      </c>
      <c r="BD75" s="43">
        <f>'$$xSchpostCouncil 22'!BD75/'$$xSchpostCouncil 22'!BD$123</f>
        <v>0</v>
      </c>
      <c r="BE75" s="6"/>
      <c r="BF75" s="6"/>
      <c r="BG75" s="6"/>
      <c r="BH75" s="43">
        <f>'$$xSchpostCouncil 22'!BH75/'$$xSchpostCouncil 22'!BH$123</f>
        <v>0</v>
      </c>
      <c r="BI75" s="6"/>
      <c r="BJ75" s="43">
        <f>'$$xSchpostCouncil 22'!BJ75/'$$xSchpostCouncil 22'!BJ$123</f>
        <v>0</v>
      </c>
      <c r="BK75" s="6"/>
      <c r="BL75" s="43">
        <f>'$$xSchpostCouncil 22'!BL75/'$$xSchpostCouncil 22'!BL$123</f>
        <v>0</v>
      </c>
      <c r="BM75" s="6"/>
      <c r="BN75" s="43">
        <f>'$$xSchpostCouncil 22'!BN75/'$$xSchpostCouncil 22'!BN$123</f>
        <v>0</v>
      </c>
      <c r="BO75" s="43">
        <f>'$$xSchpostCouncil 22'!BO75/'$$xSchpostCouncil 22'!BO$123</f>
        <v>0</v>
      </c>
      <c r="BP75" s="6"/>
      <c r="BQ75" s="6"/>
      <c r="BR75" s="6"/>
      <c r="BS75" s="6"/>
      <c r="BT75" s="6"/>
      <c r="BU75" s="43">
        <f>'$$xSchpostCouncil 22'!BU75/'$$xSchpostCouncil 22'!BU$123</f>
        <v>0</v>
      </c>
      <c r="BV75" s="43">
        <f>'$$xSchpostCouncil 22'!BV75/'$$xSchpostCouncil 22'!BV$123</f>
        <v>0</v>
      </c>
      <c r="BW75" s="43">
        <f>'$$xSchpostCouncil 22'!BW75/'$$xSchpostCouncil 22'!BW$123</f>
        <v>0</v>
      </c>
      <c r="BX75" s="6">
        <v>675915</v>
      </c>
      <c r="BY75" s="6"/>
      <c r="BZ75" s="6"/>
      <c r="CA75" s="6"/>
      <c r="CB75" s="6"/>
      <c r="CC75" s="6"/>
      <c r="CD75" s="6"/>
      <c r="CE75" s="6"/>
      <c r="CF75" s="6">
        <v>112569</v>
      </c>
      <c r="CI75" s="43">
        <f>'$$xSchpostCouncil 22'!CI75/'$$xSchpostCouncil 22'!CI$123</f>
        <v>1</v>
      </c>
      <c r="CJ75" s="43">
        <f>'$$xSchpostCouncil 22'!CJ75/'$$xSchpostCouncil 22'!CJ$123</f>
        <v>1</v>
      </c>
      <c r="CK75" s="43">
        <f>'$$xSchpostCouncil 22'!CK75/'$$xSchpostCouncil 22'!CK$123</f>
        <v>1</v>
      </c>
      <c r="CL75" s="43">
        <f>'$$xSchpostCouncil 22'!CL75/'$$xSchpostCouncil 22'!CL$123</f>
        <v>1</v>
      </c>
      <c r="CM75" s="43">
        <f>'$$xSchpostCouncil 22'!CM75/'$$xSchpostCouncil 22'!CM$123</f>
        <v>0</v>
      </c>
      <c r="CN75" s="43">
        <f>'$$xSchpostCouncil 22'!CN75/'$$xSchpostCouncil 22'!CN$123</f>
        <v>0</v>
      </c>
      <c r="CO75" s="43">
        <f>'$$xSchpostCouncil 22'!CO75/'$$xSchpostCouncil 22'!CO$123</f>
        <v>4.500004441720189</v>
      </c>
      <c r="CP75" s="43">
        <f>'$$xSchpostCouncil 22'!CP75/'$$xSchpostCouncil 22'!CP$123</f>
        <v>3</v>
      </c>
      <c r="CQ75" s="43">
        <f>'$$xSchpostCouncil 22'!CQ75/'$$xSchpostCouncil 22'!CQ$123</f>
        <v>15</v>
      </c>
      <c r="CR75" s="43">
        <f>'$$xSchpostCouncil 22'!CR75/'$$xSchpostCouncil 22'!CR$123</f>
        <v>0</v>
      </c>
      <c r="CS75" s="6"/>
      <c r="CT75" s="6"/>
      <c r="CU75" s="6"/>
      <c r="CV75" s="43">
        <f>'$$xSchpostCouncil 22'!CV75/'$$xSchpostCouncil 22'!CV$123</f>
        <v>0</v>
      </c>
      <c r="CW75" s="43">
        <f>'$$xSchpostCouncil 22'!CW75/'$$xSchpostCouncil 22'!CW$123</f>
        <v>0</v>
      </c>
      <c r="CX75" s="6">
        <v>0</v>
      </c>
      <c r="CY75" s="6"/>
      <c r="CZ75" s="6"/>
      <c r="DB75" s="43">
        <f>'$$xSchpostCouncil 22'!DB75/'$$xSchpostCouncil 22'!DB$123</f>
        <v>0</v>
      </c>
      <c r="DC75" s="43">
        <f>'$$xSchpostCouncil 22'!DC75/'$$xSchpostCouncil 22'!DC$123</f>
        <v>0</v>
      </c>
      <c r="DF75" s="43">
        <f>'$$xSchpostCouncil 22'!DF75/'$$xSchpostCouncil 22'!DF$123</f>
        <v>0</v>
      </c>
      <c r="DG75" s="43">
        <f>'$$xSchpostCouncil 22'!DG75/'$$xSchpostCouncil 22'!DG$123</f>
        <v>3</v>
      </c>
      <c r="DH75" s="43">
        <f>'$$xSchpostCouncil 22'!DH75/'$$xSchpostCouncil 22'!DH$123</f>
        <v>0</v>
      </c>
      <c r="DI75" s="43">
        <f>'$$xSchpostCouncil 22'!DI75/'$$xSchpostCouncil 22'!DI$123</f>
        <v>0</v>
      </c>
      <c r="DJ75" s="43">
        <f>'$$xSchpostCouncil 22'!DJ75/'$$xSchpostCouncil 22'!DJ$123</f>
        <v>0</v>
      </c>
      <c r="DK75" s="43">
        <f>'$$xSchpostCouncil 22'!DK75/'$$xSchpostCouncil 22'!DK$123</f>
        <v>0</v>
      </c>
      <c r="DL75" s="6">
        <v>5350</v>
      </c>
      <c r="DM75" s="6"/>
      <c r="DN75" s="43">
        <f>'$$xSchpostCouncil 22'!DN75/'$$xSchpostCouncil 22'!DN$123</f>
        <v>0</v>
      </c>
      <c r="DO75" s="6"/>
      <c r="DP75" s="6">
        <v>23725</v>
      </c>
      <c r="DU75" s="6">
        <f>VLOOKUP($A75,[3]Totals!$B$2:$K$119,10,FALSE)</f>
        <v>242135.14</v>
      </c>
      <c r="DV75" s="6">
        <f>VLOOKUP($A75,[3]Totals!$B$2:$K$119,9,FALSE)</f>
        <v>187545</v>
      </c>
    </row>
    <row r="76" spans="1:126" x14ac:dyDescent="0.2">
      <c r="A76" s="3">
        <v>285</v>
      </c>
      <c r="B76" s="2" t="s">
        <v>53</v>
      </c>
      <c r="C76" t="s">
        <v>7</v>
      </c>
      <c r="D76">
        <v>8</v>
      </c>
      <c r="E76" s="1">
        <v>238</v>
      </c>
      <c r="F76" s="4">
        <v>0.90800000000000003</v>
      </c>
      <c r="G76">
        <v>216</v>
      </c>
      <c r="H76" s="43">
        <f>'$$xSchpostCouncil 22'!H76/'$$xSchpostCouncil 22'!H$123</f>
        <v>1</v>
      </c>
      <c r="I76" s="43">
        <f>'$$xSchpostCouncil 22'!I76/'$$xSchpostCouncil 22'!I$123</f>
        <v>0</v>
      </c>
      <c r="J76" s="43">
        <f>'$$xSchpostCouncil 22'!J76/'$$xSchpostCouncil 22'!J$123</f>
        <v>0</v>
      </c>
      <c r="K76" s="43">
        <f>'$$xSchpostCouncil 22'!K76/'$$xSchpostCouncil 22'!K$123</f>
        <v>1</v>
      </c>
      <c r="L76" s="6">
        <v>4928</v>
      </c>
      <c r="M76" s="43">
        <f>'$$xSchpostCouncil 22'!M76/'$$xSchpostCouncil 22'!M$123</f>
        <v>1</v>
      </c>
      <c r="N76" s="43">
        <f>'$$xSchpostCouncil 22'!N76/'$$xSchpostCouncil 22'!N$123</f>
        <v>1</v>
      </c>
      <c r="O76" s="43">
        <f>'$$xSchpostCouncil 22'!O76/'$$xSchpostCouncil 22'!O$123</f>
        <v>1</v>
      </c>
      <c r="P76" s="43">
        <f>'$$xSchpostCouncil 22'!P76/'$$xSchpostCouncil 22'!P$123</f>
        <v>1.0000006218408266</v>
      </c>
      <c r="Q76" s="43">
        <f>'$$xSchpostCouncil 22'!Q76/'$$xSchpostCouncil 22'!Q$123</f>
        <v>2</v>
      </c>
      <c r="R76" s="43">
        <f>'$$xSchpostCouncil 22'!R76/'$$xSchpostCouncil 22'!R$123</f>
        <v>1</v>
      </c>
      <c r="S76" s="43">
        <f>'$$xSchpostCouncil 22'!S76/'$$xSchpostCouncil 22'!S$123</f>
        <v>2</v>
      </c>
      <c r="T76" s="43">
        <f>'$$xSchpostCouncil 22'!T76/'$$xSchpostCouncil 22'!T$123</f>
        <v>5</v>
      </c>
      <c r="U76" s="6"/>
      <c r="V76" s="6"/>
      <c r="W76" s="6"/>
      <c r="X76" s="6"/>
      <c r="Y76" s="43">
        <f>'$$xSchpostCouncil 22'!Y76/'$$xSchpostCouncil 22'!Y$123</f>
        <v>0</v>
      </c>
      <c r="Z76" s="43">
        <f>'$$xSchpostCouncil 22'!Z76/'$$xSchpostCouncil 22'!Z$123</f>
        <v>0</v>
      </c>
      <c r="AA76" s="43">
        <f>'$$xSchpostCouncil 22'!AA76/'$$xSchpostCouncil 22'!AA$123</f>
        <v>0</v>
      </c>
      <c r="AB76" s="43">
        <f>'$$xSchpostCouncil 22'!AB76/'$$xSchpostCouncil 22'!AB$123</f>
        <v>0</v>
      </c>
      <c r="AC76" s="6"/>
      <c r="AD76" s="6">
        <v>92815</v>
      </c>
      <c r="AE76" s="43">
        <f>'$$xSchpostCouncil 22'!AE76/'$$xSchpostCouncil 22'!AE$123</f>
        <v>1</v>
      </c>
      <c r="AF76" s="43">
        <f>'$$xSchpostCouncil 22'!AF76/'$$xSchpostCouncil 22'!AF$123</f>
        <v>1</v>
      </c>
      <c r="AG76" s="43">
        <f>'$$xSchpostCouncil 22'!AG76/'$$xSchpostCouncil 22'!AG$123</f>
        <v>5</v>
      </c>
      <c r="AH76" s="43">
        <f>'$$xSchpostCouncil 22'!AH76/'$$xSchpostCouncil 22'!AH$123</f>
        <v>0</v>
      </c>
      <c r="AI76" s="43">
        <f>'$$xSchpostCouncil 22'!AI76/'$$xSchpostCouncil 22'!AI$123</f>
        <v>1</v>
      </c>
      <c r="AJ76" s="43"/>
      <c r="AK76" s="43">
        <f>'$$xSchpostCouncil 22'!AK76/'$$xSchpostCouncil 22'!AK$123</f>
        <v>0</v>
      </c>
      <c r="AL76" s="43">
        <f>'$$xSchpostCouncil 22'!AL76/'$$xSchpostCouncil 22'!AL$123</f>
        <v>0</v>
      </c>
      <c r="AM76" s="6"/>
      <c r="AN76" s="6"/>
      <c r="AO76" s="43">
        <f>'$$xSchpostCouncil 22'!AO76/'$$xSchpostCouncil 22'!AO$123</f>
        <v>0</v>
      </c>
      <c r="AP76" s="43">
        <f>'$$xSchpostCouncil 22'!AP76/'$$xSchpostCouncil 22'!AP$123</f>
        <v>4.9996002451829544E-2</v>
      </c>
      <c r="AQ76" s="43">
        <f>'$$xSchpostCouncil 22'!AQ76/'$$xSchpostCouncil 22'!AQ$123</f>
        <v>0</v>
      </c>
      <c r="AR76" s="6"/>
      <c r="AS76" s="6">
        <f>34000-20400</f>
        <v>13600</v>
      </c>
      <c r="AT76" s="6">
        <f>34000-20400</f>
        <v>13600</v>
      </c>
      <c r="AU76" s="6">
        <v>10200</v>
      </c>
      <c r="AV76" s="6"/>
      <c r="AW76" s="6">
        <v>40800</v>
      </c>
      <c r="AX76" s="6"/>
      <c r="AY76" s="6"/>
      <c r="AZ76" s="6">
        <v>214568.14500000002</v>
      </c>
      <c r="BA76" s="6"/>
      <c r="BB76" s="6"/>
      <c r="BC76" s="43">
        <f>'$$xSchpostCouncil 22'!BC76/'$$xSchpostCouncil 22'!BC$123</f>
        <v>1</v>
      </c>
      <c r="BD76" s="43">
        <f>'$$xSchpostCouncil 22'!BD76/'$$xSchpostCouncil 22'!BD$123</f>
        <v>0</v>
      </c>
      <c r="BE76" s="6"/>
      <c r="BF76" s="6"/>
      <c r="BG76" s="6"/>
      <c r="BH76" s="43">
        <f>'$$xSchpostCouncil 22'!BH76/'$$xSchpostCouncil 22'!BH$123</f>
        <v>0</v>
      </c>
      <c r="BI76" s="6"/>
      <c r="BJ76" s="43">
        <f>'$$xSchpostCouncil 22'!BJ76/'$$xSchpostCouncil 22'!BJ$123</f>
        <v>0</v>
      </c>
      <c r="BK76" s="6"/>
      <c r="BL76" s="43">
        <f>'$$xSchpostCouncil 22'!BL76/'$$xSchpostCouncil 22'!BL$123</f>
        <v>0</v>
      </c>
      <c r="BM76" s="6"/>
      <c r="BN76" s="43">
        <f>'$$xSchpostCouncil 22'!BN76/'$$xSchpostCouncil 22'!BN$123</f>
        <v>0</v>
      </c>
      <c r="BO76" s="43">
        <f>'$$xSchpostCouncil 22'!BO76/'$$xSchpostCouncil 22'!BO$123</f>
        <v>0</v>
      </c>
      <c r="BP76" s="6"/>
      <c r="BQ76" s="6"/>
      <c r="BR76" s="6"/>
      <c r="BS76" s="6"/>
      <c r="BT76" s="6"/>
      <c r="BU76" s="43">
        <f>'$$xSchpostCouncil 22'!BU76/'$$xSchpostCouncil 22'!BU$123</f>
        <v>0</v>
      </c>
      <c r="BV76" s="43">
        <f>'$$xSchpostCouncil 22'!BV76/'$$xSchpostCouncil 22'!BV$123</f>
        <v>0</v>
      </c>
      <c r="BW76" s="43">
        <f>'$$xSchpostCouncil 22'!BW76/'$$xSchpostCouncil 22'!BW$123</f>
        <v>0</v>
      </c>
      <c r="BX76" s="6">
        <v>546808</v>
      </c>
      <c r="BY76" s="6"/>
      <c r="BZ76" s="6"/>
      <c r="CA76" s="6"/>
      <c r="CB76" s="6"/>
      <c r="CC76" s="6">
        <v>486950</v>
      </c>
      <c r="CD76" s="6"/>
      <c r="CE76" s="6">
        <v>112569</v>
      </c>
      <c r="CF76" s="6">
        <v>0</v>
      </c>
      <c r="CI76" s="43">
        <f>'$$xSchpostCouncil 22'!CI76/'$$xSchpostCouncil 22'!CI$123</f>
        <v>1</v>
      </c>
      <c r="CJ76" s="43">
        <f>'$$xSchpostCouncil 22'!CJ76/'$$xSchpostCouncil 22'!CJ$123</f>
        <v>0</v>
      </c>
      <c r="CK76" s="43">
        <f>'$$xSchpostCouncil 22'!CK76/'$$xSchpostCouncil 22'!CK$123</f>
        <v>0.50000550182110282</v>
      </c>
      <c r="CL76" s="43">
        <f>'$$xSchpostCouncil 22'!CL76/'$$xSchpostCouncil 22'!CL$123</f>
        <v>0</v>
      </c>
      <c r="CM76" s="43">
        <f>'$$xSchpostCouncil 22'!CM76/'$$xSchpostCouncil 22'!CM$123</f>
        <v>0</v>
      </c>
      <c r="CN76" s="43">
        <f>'$$xSchpostCouncil 22'!CN76/'$$xSchpostCouncil 22'!CN$123</f>
        <v>0</v>
      </c>
      <c r="CO76" s="43">
        <f>'$$xSchpostCouncil 22'!CO76/'$$xSchpostCouncil 22'!CO$123</f>
        <v>3</v>
      </c>
      <c r="CP76" s="43">
        <f>'$$xSchpostCouncil 22'!CP76/'$$xSchpostCouncil 22'!CP$123</f>
        <v>2</v>
      </c>
      <c r="CQ76" s="43">
        <f>'$$xSchpostCouncil 22'!CQ76/'$$xSchpostCouncil 22'!CQ$123</f>
        <v>9</v>
      </c>
      <c r="CR76" s="43">
        <f>'$$xSchpostCouncil 22'!CR76/'$$xSchpostCouncil 22'!CR$123</f>
        <v>0</v>
      </c>
      <c r="CS76" s="6"/>
      <c r="CT76" s="6"/>
      <c r="CU76" s="6"/>
      <c r="CV76" s="43">
        <f>'$$xSchpostCouncil 22'!CV76/'$$xSchpostCouncil 22'!CV$123</f>
        <v>0</v>
      </c>
      <c r="CW76" s="43">
        <f>'$$xSchpostCouncil 22'!CW76/'$$xSchpostCouncil 22'!CW$123</f>
        <v>0</v>
      </c>
      <c r="CX76" s="6">
        <v>0</v>
      </c>
      <c r="CY76" s="6">
        <v>75000</v>
      </c>
      <c r="CZ76" s="6"/>
      <c r="DB76" s="43">
        <f>'$$xSchpostCouncil 22'!DB76/'$$xSchpostCouncil 22'!DB$123</f>
        <v>0</v>
      </c>
      <c r="DC76" s="43">
        <f>'$$xSchpostCouncil 22'!DC76/'$$xSchpostCouncil 22'!DC$123</f>
        <v>0</v>
      </c>
      <c r="DF76" s="43">
        <f>'$$xSchpostCouncil 22'!DF76/'$$xSchpostCouncil 22'!DF$123</f>
        <v>0</v>
      </c>
      <c r="DG76" s="43">
        <f>'$$xSchpostCouncil 22'!DG76/'$$xSchpostCouncil 22'!DG$123</f>
        <v>0</v>
      </c>
      <c r="DH76" s="43">
        <f>'$$xSchpostCouncil 22'!DH76/'$$xSchpostCouncil 22'!DH$123</f>
        <v>0</v>
      </c>
      <c r="DI76" s="43">
        <f>'$$xSchpostCouncil 22'!DI76/'$$xSchpostCouncil 22'!DI$123</f>
        <v>0</v>
      </c>
      <c r="DJ76" s="43">
        <f>'$$xSchpostCouncil 22'!DJ76/'$$xSchpostCouncil 22'!DJ$123</f>
        <v>0</v>
      </c>
      <c r="DK76" s="43">
        <f>'$$xSchpostCouncil 22'!DK76/'$$xSchpostCouncil 22'!DK$123</f>
        <v>0</v>
      </c>
      <c r="DL76" s="6">
        <v>8692</v>
      </c>
      <c r="DM76" s="6"/>
      <c r="DN76" s="43">
        <f>'$$xSchpostCouncil 22'!DN76/'$$xSchpostCouncil 22'!DN$123</f>
        <v>0</v>
      </c>
      <c r="DO76" s="6"/>
      <c r="DP76" s="6">
        <v>31850</v>
      </c>
      <c r="DU76" s="6">
        <f>VLOOKUP($A76,[3]Totals!$B$2:$K$119,10,FALSE)</f>
        <v>172473.57</v>
      </c>
      <c r="DV76" s="6">
        <f>VLOOKUP($A76,[3]Totals!$B$2:$K$119,9,FALSE)</f>
        <v>155324</v>
      </c>
    </row>
    <row r="77" spans="1:126" x14ac:dyDescent="0.2">
      <c r="A77" s="3">
        <v>287</v>
      </c>
      <c r="B77" s="2" t="s">
        <v>52</v>
      </c>
      <c r="C77" t="s">
        <v>7</v>
      </c>
      <c r="D77">
        <v>3</v>
      </c>
      <c r="E77" s="1">
        <v>614</v>
      </c>
      <c r="F77" s="4">
        <v>5.5E-2</v>
      </c>
      <c r="G77">
        <v>34</v>
      </c>
      <c r="H77" s="43">
        <f>'$$xSchpostCouncil 22'!H77/'$$xSchpostCouncil 22'!H$123</f>
        <v>1</v>
      </c>
      <c r="I77" s="43">
        <f>'$$xSchpostCouncil 22'!I77/'$$xSchpostCouncil 22'!I$123</f>
        <v>0</v>
      </c>
      <c r="J77" s="43">
        <f>'$$xSchpostCouncil 22'!J77/'$$xSchpostCouncil 22'!J$123</f>
        <v>0</v>
      </c>
      <c r="K77" s="43">
        <f>'$$xSchpostCouncil 22'!K77/'$$xSchpostCouncil 22'!K$123</f>
        <v>1</v>
      </c>
      <c r="L77" s="6">
        <v>7082</v>
      </c>
      <c r="M77" s="43">
        <f>'$$xSchpostCouncil 22'!M77/'$$xSchpostCouncil 22'!M$123</f>
        <v>1</v>
      </c>
      <c r="N77" s="43">
        <f>'$$xSchpostCouncil 22'!N77/'$$xSchpostCouncil 22'!N$123</f>
        <v>1</v>
      </c>
      <c r="O77" s="43">
        <f>'$$xSchpostCouncil 22'!O77/'$$xSchpostCouncil 22'!O$123</f>
        <v>4</v>
      </c>
      <c r="P77" s="43">
        <f>'$$xSchpostCouncil 22'!P77/'$$xSchpostCouncil 22'!P$123</f>
        <v>1</v>
      </c>
      <c r="Q77" s="43">
        <f>'$$xSchpostCouncil 22'!Q77/'$$xSchpostCouncil 22'!Q$123</f>
        <v>0</v>
      </c>
      <c r="R77" s="43">
        <f>'$$xSchpostCouncil 22'!R77/'$$xSchpostCouncil 22'!R$123</f>
        <v>0</v>
      </c>
      <c r="S77" s="43">
        <f>'$$xSchpostCouncil 22'!S77/'$$xSchpostCouncil 22'!S$123</f>
        <v>3</v>
      </c>
      <c r="T77" s="43">
        <f>'$$xSchpostCouncil 22'!T77/'$$xSchpostCouncil 22'!T$123</f>
        <v>3</v>
      </c>
      <c r="U77" s="6"/>
      <c r="V77" s="6"/>
      <c r="W77" s="6"/>
      <c r="X77" s="6"/>
      <c r="Y77" s="43">
        <f>'$$xSchpostCouncil 22'!Y77/'$$xSchpostCouncil 22'!Y$123</f>
        <v>0</v>
      </c>
      <c r="Z77" s="43">
        <f>'$$xSchpostCouncil 22'!Z77/'$$xSchpostCouncil 22'!Z$123</f>
        <v>0</v>
      </c>
      <c r="AA77" s="43">
        <f>'$$xSchpostCouncil 22'!AA77/'$$xSchpostCouncil 22'!AA$123</f>
        <v>0</v>
      </c>
      <c r="AB77" s="43">
        <f>'$$xSchpostCouncil 22'!AB77/'$$xSchpostCouncil 22'!AB$123</f>
        <v>0</v>
      </c>
      <c r="AC77" s="6"/>
      <c r="AD77" s="6">
        <v>199422</v>
      </c>
      <c r="AE77" s="43">
        <f>'$$xSchpostCouncil 22'!AE77/'$$xSchpostCouncil 22'!AE$123</f>
        <v>1</v>
      </c>
      <c r="AF77" s="43">
        <f>'$$xSchpostCouncil 22'!AF77/'$$xSchpostCouncil 22'!AF$123</f>
        <v>1</v>
      </c>
      <c r="AG77" s="43">
        <f>'$$xSchpostCouncil 22'!AG77/'$$xSchpostCouncil 22'!AG$123</f>
        <v>8</v>
      </c>
      <c r="AH77" s="43">
        <f>'$$xSchpostCouncil 22'!AH77/'$$xSchpostCouncil 22'!AH$123</f>
        <v>0</v>
      </c>
      <c r="AI77" s="43">
        <f>'$$xSchpostCouncil 22'!AI77/'$$xSchpostCouncil 22'!AI$123</f>
        <v>4</v>
      </c>
      <c r="AJ77" s="43"/>
      <c r="AK77" s="43">
        <f>'$$xSchpostCouncil 22'!AK77/'$$xSchpostCouncil 22'!AK$123</f>
        <v>0</v>
      </c>
      <c r="AL77" s="43">
        <f>'$$xSchpostCouncil 22'!AL77/'$$xSchpostCouncil 22'!AL$123</f>
        <v>0</v>
      </c>
      <c r="AM77" s="6"/>
      <c r="AN77" s="6"/>
      <c r="AO77" s="43">
        <f>'$$xSchpostCouncil 22'!AO77/'$$xSchpostCouncil 22'!AO$123</f>
        <v>4</v>
      </c>
      <c r="AP77" s="43">
        <f>'$$xSchpostCouncil 22'!AP77/'$$xSchpostCouncil 22'!AP$123</f>
        <v>0</v>
      </c>
      <c r="AQ77" s="43">
        <f>'$$xSchpostCouncil 22'!AQ77/'$$xSchpostCouncil 22'!AQ$123</f>
        <v>0</v>
      </c>
      <c r="AR77" s="6"/>
      <c r="AS77" s="6"/>
      <c r="AT77" s="6"/>
      <c r="AU77" s="6"/>
      <c r="AV77" s="6"/>
      <c r="AW77" s="6">
        <v>0</v>
      </c>
      <c r="AX77" s="6"/>
      <c r="AY77" s="6"/>
      <c r="AZ77" s="6">
        <v>0</v>
      </c>
      <c r="BA77" s="6"/>
      <c r="BB77" s="6">
        <v>15350</v>
      </c>
      <c r="BC77" s="43">
        <f>'$$xSchpostCouncil 22'!BC77/'$$xSchpostCouncil 22'!BC$123</f>
        <v>0</v>
      </c>
      <c r="BD77" s="43">
        <f>'$$xSchpostCouncil 22'!BD77/'$$xSchpostCouncil 22'!BD$123</f>
        <v>0</v>
      </c>
      <c r="BE77" s="6"/>
      <c r="BF77" s="6"/>
      <c r="BG77" s="6"/>
      <c r="BH77" s="43">
        <f>'$$xSchpostCouncil 22'!BH77/'$$xSchpostCouncil 22'!BH$123</f>
        <v>0</v>
      </c>
      <c r="BI77" s="6"/>
      <c r="BJ77" s="43">
        <f>'$$xSchpostCouncil 22'!BJ77/'$$xSchpostCouncil 22'!BJ$123</f>
        <v>0</v>
      </c>
      <c r="BK77" s="6"/>
      <c r="BL77" s="43">
        <f>'$$xSchpostCouncil 22'!BL77/'$$xSchpostCouncil 22'!BL$123</f>
        <v>0</v>
      </c>
      <c r="BM77" s="6"/>
      <c r="BN77" s="43">
        <f>'$$xSchpostCouncil 22'!BN77/'$$xSchpostCouncil 22'!BN$123</f>
        <v>0</v>
      </c>
      <c r="BO77" s="43">
        <f>'$$xSchpostCouncil 22'!BO77/'$$xSchpostCouncil 22'!BO$123</f>
        <v>0</v>
      </c>
      <c r="BP77" s="6"/>
      <c r="BQ77" s="6"/>
      <c r="BR77" s="6"/>
      <c r="BS77" s="6"/>
      <c r="BT77" s="6"/>
      <c r="BU77" s="43">
        <f>'$$xSchpostCouncil 22'!BU77/'$$xSchpostCouncil 22'!BU$123</f>
        <v>0</v>
      </c>
      <c r="BV77" s="43">
        <f>'$$xSchpostCouncil 22'!BV77/'$$xSchpostCouncil 22'!BV$123</f>
        <v>0</v>
      </c>
      <c r="BW77" s="43">
        <f>'$$xSchpostCouncil 22'!BW77/'$$xSchpostCouncil 22'!BW$123</f>
        <v>0</v>
      </c>
      <c r="BX77" s="6">
        <v>86072</v>
      </c>
      <c r="BY77" s="6"/>
      <c r="BZ77" s="6"/>
      <c r="CA77" s="6"/>
      <c r="CB77" s="6"/>
      <c r="CC77" s="6"/>
      <c r="CD77" s="6"/>
      <c r="CE77" s="6"/>
      <c r="CF77" s="6">
        <v>0</v>
      </c>
      <c r="CI77" s="43">
        <f>'$$xSchpostCouncil 22'!CI77/'$$xSchpostCouncil 22'!CI$123</f>
        <v>1</v>
      </c>
      <c r="CJ77" s="43">
        <f>'$$xSchpostCouncil 22'!CJ77/'$$xSchpostCouncil 22'!CJ$123</f>
        <v>1.5000031942962646</v>
      </c>
      <c r="CK77" s="43">
        <f>'$$xSchpostCouncil 22'!CK77/'$$xSchpostCouncil 22'!CK$123</f>
        <v>1</v>
      </c>
      <c r="CL77" s="43">
        <f>'$$xSchpostCouncil 22'!CL77/'$$xSchpostCouncil 22'!CL$123</f>
        <v>1.5000098738126739</v>
      </c>
      <c r="CM77" s="43">
        <f>'$$xSchpostCouncil 22'!CM77/'$$xSchpostCouncil 22'!CM$123</f>
        <v>0</v>
      </c>
      <c r="CN77" s="43">
        <f>'$$xSchpostCouncil 22'!CN77/'$$xSchpostCouncil 22'!CN$123</f>
        <v>0</v>
      </c>
      <c r="CO77" s="43">
        <f>'$$xSchpostCouncil 22'!CO77/'$$xSchpostCouncil 22'!CO$123</f>
        <v>5.500004441720189</v>
      </c>
      <c r="CP77" s="43">
        <f>'$$xSchpostCouncil 22'!CP77/'$$xSchpostCouncil 22'!CP$123</f>
        <v>4</v>
      </c>
      <c r="CQ77" s="43">
        <f>'$$xSchpostCouncil 22'!CQ77/'$$xSchpostCouncil 22'!CQ$123</f>
        <v>25</v>
      </c>
      <c r="CR77" s="43">
        <f>'$$xSchpostCouncil 22'!CR77/'$$xSchpostCouncil 22'!CR$123</f>
        <v>0</v>
      </c>
      <c r="CS77" s="6"/>
      <c r="CT77" s="6"/>
      <c r="CU77" s="6"/>
      <c r="CV77" s="43">
        <f>'$$xSchpostCouncil 22'!CV77/'$$xSchpostCouncil 22'!CV$123</f>
        <v>0</v>
      </c>
      <c r="CW77" s="43">
        <f>'$$xSchpostCouncil 22'!CW77/'$$xSchpostCouncil 22'!CW$123</f>
        <v>0</v>
      </c>
      <c r="CX77" s="6">
        <v>0</v>
      </c>
      <c r="CY77" s="6"/>
      <c r="CZ77" s="6"/>
      <c r="DB77" s="43">
        <f>'$$xSchpostCouncil 22'!DB77/'$$xSchpostCouncil 22'!DB$123</f>
        <v>0</v>
      </c>
      <c r="DC77" s="43">
        <f>'$$xSchpostCouncil 22'!DC77/'$$xSchpostCouncil 22'!DC$123</f>
        <v>0</v>
      </c>
      <c r="DF77" s="43">
        <f>'$$xSchpostCouncil 22'!DF77/'$$xSchpostCouncil 22'!DF$123</f>
        <v>0</v>
      </c>
      <c r="DG77" s="43">
        <f>'$$xSchpostCouncil 22'!DG77/'$$xSchpostCouncil 22'!DG$123</f>
        <v>0</v>
      </c>
      <c r="DH77" s="43">
        <f>'$$xSchpostCouncil 22'!DH77/'$$xSchpostCouncil 22'!DH$123</f>
        <v>0</v>
      </c>
      <c r="DI77" s="43">
        <f>'$$xSchpostCouncil 22'!DI77/'$$xSchpostCouncil 22'!DI$123</f>
        <v>0</v>
      </c>
      <c r="DJ77" s="43">
        <f>'$$xSchpostCouncil 22'!DJ77/'$$xSchpostCouncil 22'!DJ$123</f>
        <v>0</v>
      </c>
      <c r="DK77" s="43">
        <f>'$$xSchpostCouncil 22'!DK77/'$$xSchpostCouncil 22'!DK$123</f>
        <v>0</v>
      </c>
      <c r="DL77" s="6"/>
      <c r="DM77" s="6"/>
      <c r="DN77" s="43">
        <f>'$$xSchpostCouncil 22'!DN77/'$$xSchpostCouncil 22'!DN$123</f>
        <v>0</v>
      </c>
      <c r="DO77" s="6"/>
      <c r="DP77" s="6">
        <v>5600</v>
      </c>
      <c r="DU77" s="6">
        <f>VLOOKUP($A77,[3]Totals!$B$2:$K$119,10,FALSE)</f>
        <v>60648.07</v>
      </c>
      <c r="DV77" s="6">
        <f>VLOOKUP($A77,[3]Totals!$B$2:$K$119,9,FALSE)</f>
        <v>112569</v>
      </c>
    </row>
    <row r="78" spans="1:126" x14ac:dyDescent="0.2">
      <c r="A78" s="3">
        <v>288</v>
      </c>
      <c r="B78" s="2" t="s">
        <v>51</v>
      </c>
      <c r="C78" t="s">
        <v>7</v>
      </c>
      <c r="D78">
        <v>7</v>
      </c>
      <c r="E78" s="1">
        <v>326</v>
      </c>
      <c r="F78" s="4">
        <v>0.755</v>
      </c>
      <c r="G78">
        <v>246</v>
      </c>
      <c r="H78" s="43">
        <f>'$$xSchpostCouncil 22'!H78/'$$xSchpostCouncil 22'!H$123</f>
        <v>1</v>
      </c>
      <c r="I78" s="43">
        <f>'$$xSchpostCouncil 22'!I78/'$$xSchpostCouncil 22'!I$123</f>
        <v>0</v>
      </c>
      <c r="J78" s="43">
        <f>'$$xSchpostCouncil 22'!J78/'$$xSchpostCouncil 22'!J$123</f>
        <v>0</v>
      </c>
      <c r="K78" s="43">
        <f>'$$xSchpostCouncil 22'!K78/'$$xSchpostCouncil 22'!K$123</f>
        <v>1</v>
      </c>
      <c r="L78" s="6">
        <v>5875</v>
      </c>
      <c r="M78" s="43">
        <f>'$$xSchpostCouncil 22'!M78/'$$xSchpostCouncil 22'!M$123</f>
        <v>1</v>
      </c>
      <c r="N78" s="43">
        <f>'$$xSchpostCouncil 22'!N78/'$$xSchpostCouncil 22'!N$123</f>
        <v>1</v>
      </c>
      <c r="O78" s="43">
        <f>'$$xSchpostCouncil 22'!O78/'$$xSchpostCouncil 22'!O$123</f>
        <v>2</v>
      </c>
      <c r="P78" s="43">
        <f>'$$xSchpostCouncil 22'!P78/'$$xSchpostCouncil 22'!P$123</f>
        <v>1</v>
      </c>
      <c r="Q78" s="43">
        <f>'$$xSchpostCouncil 22'!Q78/'$$xSchpostCouncil 22'!Q$123</f>
        <v>0</v>
      </c>
      <c r="R78" s="43">
        <f>'$$xSchpostCouncil 22'!R78/'$$xSchpostCouncil 22'!R$123</f>
        <v>6</v>
      </c>
      <c r="S78" s="43">
        <f>'$$xSchpostCouncil 22'!S78/'$$xSchpostCouncil 22'!S$123</f>
        <v>0</v>
      </c>
      <c r="T78" s="43">
        <f>'$$xSchpostCouncil 22'!T78/'$$xSchpostCouncil 22'!T$123</f>
        <v>6</v>
      </c>
      <c r="U78" s="6"/>
      <c r="V78" s="6"/>
      <c r="W78" s="6"/>
      <c r="X78" s="6"/>
      <c r="Y78" s="43">
        <f>'$$xSchpostCouncil 22'!Y78/'$$xSchpostCouncil 22'!Y$123</f>
        <v>0</v>
      </c>
      <c r="Z78" s="43">
        <f>'$$xSchpostCouncil 22'!Z78/'$$xSchpostCouncil 22'!Z$123</f>
        <v>0</v>
      </c>
      <c r="AA78" s="43">
        <f>'$$xSchpostCouncil 22'!AA78/'$$xSchpostCouncil 22'!AA$123</f>
        <v>0</v>
      </c>
      <c r="AB78" s="43">
        <f>'$$xSchpostCouncil 22'!AB78/'$$xSchpostCouncil 22'!AB$123</f>
        <v>0</v>
      </c>
      <c r="AC78" s="6"/>
      <c r="AD78" s="6">
        <v>199756</v>
      </c>
      <c r="AE78" s="43">
        <f>'$$xSchpostCouncil 22'!AE78/'$$xSchpostCouncil 22'!AE$123</f>
        <v>1</v>
      </c>
      <c r="AF78" s="43">
        <f>'$$xSchpostCouncil 22'!AF78/'$$xSchpostCouncil 22'!AF$123</f>
        <v>1</v>
      </c>
      <c r="AG78" s="43">
        <f>'$$xSchpostCouncil 22'!AG78/'$$xSchpostCouncil 22'!AG$123</f>
        <v>5</v>
      </c>
      <c r="AH78" s="43">
        <f>'$$xSchpostCouncil 22'!AH78/'$$xSchpostCouncil 22'!AH$123</f>
        <v>0</v>
      </c>
      <c r="AI78" s="43">
        <f>'$$xSchpostCouncil 22'!AI78/'$$xSchpostCouncil 22'!AI$123</f>
        <v>1</v>
      </c>
      <c r="AJ78" s="43"/>
      <c r="AK78" s="43">
        <f>'$$xSchpostCouncil 22'!AK78/'$$xSchpostCouncil 22'!AK$123</f>
        <v>0</v>
      </c>
      <c r="AL78" s="43">
        <f>'$$xSchpostCouncil 22'!AL78/'$$xSchpostCouncil 22'!AL$123</f>
        <v>0</v>
      </c>
      <c r="AM78" s="6"/>
      <c r="AN78" s="6"/>
      <c r="AO78" s="43">
        <f>'$$xSchpostCouncil 22'!AO78/'$$xSchpostCouncil 22'!AO$123</f>
        <v>2</v>
      </c>
      <c r="AP78" s="43">
        <f>'$$xSchpostCouncil 22'!AP78/'$$xSchpostCouncil 22'!AP$123</f>
        <v>0</v>
      </c>
      <c r="AQ78" s="43">
        <f>'$$xSchpostCouncil 22'!AQ78/'$$xSchpostCouncil 22'!AQ$123</f>
        <v>0</v>
      </c>
      <c r="AR78" s="6"/>
      <c r="AS78" s="6"/>
      <c r="AT78" s="6"/>
      <c r="AU78" s="6"/>
      <c r="AV78" s="6"/>
      <c r="AW78" s="6">
        <v>0</v>
      </c>
      <c r="AX78" s="6"/>
      <c r="AY78" s="6"/>
      <c r="AZ78" s="6">
        <v>147819.91</v>
      </c>
      <c r="BA78" s="6"/>
      <c r="BB78" s="6"/>
      <c r="BC78" s="43">
        <f>'$$xSchpostCouncil 22'!BC78/'$$xSchpostCouncil 22'!BC$123</f>
        <v>0</v>
      </c>
      <c r="BD78" s="43">
        <f>'$$xSchpostCouncil 22'!BD78/'$$xSchpostCouncil 22'!BD$123</f>
        <v>0</v>
      </c>
      <c r="BE78" s="6"/>
      <c r="BF78" s="6"/>
      <c r="BG78" s="6"/>
      <c r="BH78" s="43">
        <f>'$$xSchpostCouncil 22'!BH78/'$$xSchpostCouncil 22'!BH$123</f>
        <v>0</v>
      </c>
      <c r="BI78" s="6"/>
      <c r="BJ78" s="43">
        <f>'$$xSchpostCouncil 22'!BJ78/'$$xSchpostCouncil 22'!BJ$123</f>
        <v>0</v>
      </c>
      <c r="BK78" s="6"/>
      <c r="BL78" s="43">
        <f>'$$xSchpostCouncil 22'!BL78/'$$xSchpostCouncil 22'!BL$123</f>
        <v>0</v>
      </c>
      <c r="BM78" s="6"/>
      <c r="BN78" s="43">
        <f>'$$xSchpostCouncil 22'!BN78/'$$xSchpostCouncil 22'!BN$123</f>
        <v>0</v>
      </c>
      <c r="BO78" s="43">
        <f>'$$xSchpostCouncil 22'!BO78/'$$xSchpostCouncil 22'!BO$123</f>
        <v>0</v>
      </c>
      <c r="BP78" s="6"/>
      <c r="BQ78" s="6"/>
      <c r="BR78" s="6"/>
      <c r="BS78" s="6"/>
      <c r="BT78" s="6"/>
      <c r="BU78" s="43">
        <f>'$$xSchpostCouncil 22'!BU78/'$$xSchpostCouncil 22'!BU$123</f>
        <v>0</v>
      </c>
      <c r="BV78" s="43">
        <f>'$$xSchpostCouncil 22'!BV78/'$$xSchpostCouncil 22'!BV$123</f>
        <v>0</v>
      </c>
      <c r="BW78" s="43">
        <f>'$$xSchpostCouncil 22'!BW78/'$$xSchpostCouncil 22'!BW$123</f>
        <v>0</v>
      </c>
      <c r="BX78" s="6">
        <v>622753.92999999993</v>
      </c>
      <c r="BY78" s="6"/>
      <c r="BZ78" s="6"/>
      <c r="CA78" s="6"/>
      <c r="CB78" s="6"/>
      <c r="CC78" s="6"/>
      <c r="CD78" s="6"/>
      <c r="CE78" s="6"/>
      <c r="CF78" s="6">
        <v>0</v>
      </c>
      <c r="CI78" s="43">
        <f>'$$xSchpostCouncil 22'!CI78/'$$xSchpostCouncil 22'!CI$123</f>
        <v>1</v>
      </c>
      <c r="CJ78" s="43">
        <f>'$$xSchpostCouncil 22'!CJ78/'$$xSchpostCouncil 22'!CJ$123</f>
        <v>0.79999872228149416</v>
      </c>
      <c r="CK78" s="43">
        <f>'$$xSchpostCouncil 22'!CK78/'$$xSchpostCouncil 22'!CK$123</f>
        <v>1</v>
      </c>
      <c r="CL78" s="43">
        <f>'$$xSchpostCouncil 22'!CL78/'$$xSchpostCouncil 22'!CL$123</f>
        <v>0</v>
      </c>
      <c r="CM78" s="43">
        <f>'$$xSchpostCouncil 22'!CM78/'$$xSchpostCouncil 22'!CM$123</f>
        <v>0</v>
      </c>
      <c r="CN78" s="43">
        <f>'$$xSchpostCouncil 22'!CN78/'$$xSchpostCouncil 22'!CN$123</f>
        <v>0</v>
      </c>
      <c r="CO78" s="43">
        <f>'$$xSchpostCouncil 22'!CO78/'$$xSchpostCouncil 22'!CO$123</f>
        <v>3</v>
      </c>
      <c r="CP78" s="43">
        <f>'$$xSchpostCouncil 22'!CP78/'$$xSchpostCouncil 22'!CP$123</f>
        <v>2</v>
      </c>
      <c r="CQ78" s="43">
        <f>'$$xSchpostCouncil 22'!CQ78/'$$xSchpostCouncil 22'!CQ$123</f>
        <v>12</v>
      </c>
      <c r="CR78" s="43">
        <f>'$$xSchpostCouncil 22'!CR78/'$$xSchpostCouncil 22'!CR$123</f>
        <v>0</v>
      </c>
      <c r="CS78" s="6"/>
      <c r="CT78" s="6"/>
      <c r="CU78" s="6"/>
      <c r="CV78" s="43">
        <f>'$$xSchpostCouncil 22'!CV78/'$$xSchpostCouncil 22'!CV$123</f>
        <v>0</v>
      </c>
      <c r="CW78" s="43">
        <f>'$$xSchpostCouncil 22'!CW78/'$$xSchpostCouncil 22'!CW$123</f>
        <v>0</v>
      </c>
      <c r="CX78" s="6">
        <v>0</v>
      </c>
      <c r="CY78" s="6"/>
      <c r="CZ78" s="6"/>
      <c r="DB78" s="43">
        <f>'$$xSchpostCouncil 22'!DB78/'$$xSchpostCouncil 22'!DB$123</f>
        <v>0</v>
      </c>
      <c r="DC78" s="43">
        <f>'$$xSchpostCouncil 22'!DC78/'$$xSchpostCouncil 22'!DC$123</f>
        <v>0</v>
      </c>
      <c r="DF78" s="43">
        <f>'$$xSchpostCouncil 22'!DF78/'$$xSchpostCouncil 22'!DF$123</f>
        <v>0</v>
      </c>
      <c r="DG78" s="43">
        <f>'$$xSchpostCouncil 22'!DG78/'$$xSchpostCouncil 22'!DG$123</f>
        <v>1</v>
      </c>
      <c r="DH78" s="43">
        <f>'$$xSchpostCouncil 22'!DH78/'$$xSchpostCouncil 22'!DH$123</f>
        <v>0</v>
      </c>
      <c r="DI78" s="43">
        <f>'$$xSchpostCouncil 22'!DI78/'$$xSchpostCouncil 22'!DI$123</f>
        <v>0</v>
      </c>
      <c r="DJ78" s="43">
        <f>'$$xSchpostCouncil 22'!DJ78/'$$xSchpostCouncil 22'!DJ$123</f>
        <v>0</v>
      </c>
      <c r="DK78" s="43">
        <f>'$$xSchpostCouncil 22'!DK78/'$$xSchpostCouncil 22'!DK$123</f>
        <v>0</v>
      </c>
      <c r="DL78" s="6">
        <v>9883</v>
      </c>
      <c r="DM78" s="6"/>
      <c r="DN78" s="43">
        <f>'$$xSchpostCouncil 22'!DN78/'$$xSchpostCouncil 22'!DN$123</f>
        <v>0</v>
      </c>
      <c r="DO78" s="6"/>
      <c r="DP78" s="6">
        <v>29250</v>
      </c>
      <c r="DU78" s="6">
        <f>VLOOKUP($A78,[3]Totals!$B$2:$K$119,10,FALSE)</f>
        <v>275312.81</v>
      </c>
      <c r="DV78" s="6">
        <f>VLOOKUP($A78,[3]Totals!$B$2:$K$119,9,FALSE)</f>
        <v>205784</v>
      </c>
    </row>
    <row r="79" spans="1:126" x14ac:dyDescent="0.2">
      <c r="A79" s="3">
        <v>290</v>
      </c>
      <c r="B79" s="2" t="s">
        <v>50</v>
      </c>
      <c r="C79" t="s">
        <v>7</v>
      </c>
      <c r="D79">
        <v>5</v>
      </c>
      <c r="E79" s="1">
        <v>224</v>
      </c>
      <c r="F79" s="4">
        <v>0.65200000000000002</v>
      </c>
      <c r="G79">
        <v>146</v>
      </c>
      <c r="H79" s="43">
        <f>'$$xSchpostCouncil 22'!H79/'$$xSchpostCouncil 22'!H$123</f>
        <v>1</v>
      </c>
      <c r="I79" s="43">
        <f>'$$xSchpostCouncil 22'!I79/'$$xSchpostCouncil 22'!I$123</f>
        <v>0</v>
      </c>
      <c r="J79" s="43">
        <f>'$$xSchpostCouncil 22'!J79/'$$xSchpostCouncil 22'!J$123</f>
        <v>0</v>
      </c>
      <c r="K79" s="43">
        <f>'$$xSchpostCouncil 22'!K79/'$$xSchpostCouncil 22'!K$123</f>
        <v>1</v>
      </c>
      <c r="L79" s="6">
        <v>3978</v>
      </c>
      <c r="M79" s="43">
        <f>'$$xSchpostCouncil 22'!M79/'$$xSchpostCouncil 22'!M$123</f>
        <v>1</v>
      </c>
      <c r="N79" s="43">
        <f>'$$xSchpostCouncil 22'!N79/'$$xSchpostCouncil 22'!N$123</f>
        <v>1</v>
      </c>
      <c r="O79" s="43">
        <f>'$$xSchpostCouncil 22'!O79/'$$xSchpostCouncil 22'!O$123</f>
        <v>1</v>
      </c>
      <c r="P79" s="43">
        <f>'$$xSchpostCouncil 22'!P79/'$$xSchpostCouncil 22'!P$123</f>
        <v>1.0000006218408266</v>
      </c>
      <c r="Q79" s="43">
        <f>'$$xSchpostCouncil 22'!Q79/'$$xSchpostCouncil 22'!Q$123</f>
        <v>1</v>
      </c>
      <c r="R79" s="43">
        <f>'$$xSchpostCouncil 22'!R79/'$$xSchpostCouncil 22'!R$123</f>
        <v>1</v>
      </c>
      <c r="S79" s="43">
        <f>'$$xSchpostCouncil 22'!S79/'$$xSchpostCouncil 22'!S$123</f>
        <v>1</v>
      </c>
      <c r="T79" s="43">
        <f>'$$xSchpostCouncil 22'!T79/'$$xSchpostCouncil 22'!T$123</f>
        <v>3</v>
      </c>
      <c r="U79" s="6"/>
      <c r="V79" s="6"/>
      <c r="W79" s="6"/>
      <c r="X79" s="6"/>
      <c r="Y79" s="43">
        <f>'$$xSchpostCouncil 22'!Y79/'$$xSchpostCouncil 22'!Y$123</f>
        <v>0</v>
      </c>
      <c r="Z79" s="43">
        <f>'$$xSchpostCouncil 22'!Z79/'$$xSchpostCouncil 22'!Z$123</f>
        <v>0</v>
      </c>
      <c r="AA79" s="43">
        <f>'$$xSchpostCouncil 22'!AA79/'$$xSchpostCouncil 22'!AA$123</f>
        <v>0</v>
      </c>
      <c r="AB79" s="43">
        <f>'$$xSchpostCouncil 22'!AB79/'$$xSchpostCouncil 22'!AB$123</f>
        <v>0</v>
      </c>
      <c r="AC79" s="6"/>
      <c r="AD79" s="6">
        <v>97395</v>
      </c>
      <c r="AE79" s="43">
        <f>'$$xSchpostCouncil 22'!AE79/'$$xSchpostCouncil 22'!AE$123</f>
        <v>1</v>
      </c>
      <c r="AF79" s="43">
        <f>'$$xSchpostCouncil 22'!AF79/'$$xSchpostCouncil 22'!AF$123</f>
        <v>1</v>
      </c>
      <c r="AG79" s="43">
        <f>'$$xSchpostCouncil 22'!AG79/'$$xSchpostCouncil 22'!AG$123</f>
        <v>7</v>
      </c>
      <c r="AH79" s="43">
        <f>'$$xSchpostCouncil 22'!AH79/'$$xSchpostCouncil 22'!AH$123</f>
        <v>0</v>
      </c>
      <c r="AI79" s="43">
        <f>'$$xSchpostCouncil 22'!AI79/'$$xSchpostCouncil 22'!AI$123</f>
        <v>5</v>
      </c>
      <c r="AJ79" s="43"/>
      <c r="AK79" s="43">
        <f>'$$xSchpostCouncil 22'!AK79/'$$xSchpostCouncil 22'!AK$123</f>
        <v>0</v>
      </c>
      <c r="AL79" s="43">
        <f>'$$xSchpostCouncil 22'!AL79/'$$xSchpostCouncil 22'!AL$123</f>
        <v>0</v>
      </c>
      <c r="AM79" s="6"/>
      <c r="AN79" s="6"/>
      <c r="AO79" s="43">
        <f>'$$xSchpostCouncil 22'!AO79/'$$xSchpostCouncil 22'!AO$123</f>
        <v>2</v>
      </c>
      <c r="AP79" s="43">
        <f>'$$xSchpostCouncil 22'!AP79/'$$xSchpostCouncil 22'!AP$123</f>
        <v>0</v>
      </c>
      <c r="AQ79" s="43">
        <f>'$$xSchpostCouncil 22'!AQ79/'$$xSchpostCouncil 22'!AQ$123</f>
        <v>0</v>
      </c>
      <c r="AR79" s="6"/>
      <c r="AS79" s="6">
        <f>27200-13600</f>
        <v>13600</v>
      </c>
      <c r="AT79" s="6">
        <f>27200-13600</f>
        <v>13600</v>
      </c>
      <c r="AU79" s="6">
        <v>10200</v>
      </c>
      <c r="AV79" s="6"/>
      <c r="AW79" s="6">
        <v>27200</v>
      </c>
      <c r="AX79" s="6"/>
      <c r="AY79" s="6"/>
      <c r="AZ79" s="6">
        <v>101567.79000000001</v>
      </c>
      <c r="BA79" s="6"/>
      <c r="BB79" s="6"/>
      <c r="BC79" s="43">
        <f>'$$xSchpostCouncil 22'!BC79/'$$xSchpostCouncil 22'!BC$123</f>
        <v>0</v>
      </c>
      <c r="BD79" s="43">
        <f>'$$xSchpostCouncil 22'!BD79/'$$xSchpostCouncil 22'!BD$123</f>
        <v>0</v>
      </c>
      <c r="BE79" s="6"/>
      <c r="BF79" s="6"/>
      <c r="BG79" s="6"/>
      <c r="BH79" s="43">
        <f>'$$xSchpostCouncil 22'!BH79/'$$xSchpostCouncil 22'!BH$123</f>
        <v>0</v>
      </c>
      <c r="BI79" s="6"/>
      <c r="BJ79" s="43">
        <f>'$$xSchpostCouncil 22'!BJ79/'$$xSchpostCouncil 22'!BJ$123</f>
        <v>0</v>
      </c>
      <c r="BK79" s="6"/>
      <c r="BL79" s="43">
        <f>'$$xSchpostCouncil 22'!BL79/'$$xSchpostCouncil 22'!BL$123</f>
        <v>0</v>
      </c>
      <c r="BM79" s="6"/>
      <c r="BN79" s="43">
        <f>'$$xSchpostCouncil 22'!BN79/'$$xSchpostCouncil 22'!BN$123</f>
        <v>0</v>
      </c>
      <c r="BO79" s="43">
        <f>'$$xSchpostCouncil 22'!BO79/'$$xSchpostCouncil 22'!BO$123</f>
        <v>0</v>
      </c>
      <c r="BP79" s="6"/>
      <c r="BQ79" s="6"/>
      <c r="BR79" s="6"/>
      <c r="BS79" s="6"/>
      <c r="BT79" s="6"/>
      <c r="BU79" s="43">
        <f>'$$xSchpostCouncil 22'!BU79/'$$xSchpostCouncil 22'!BU$123</f>
        <v>0</v>
      </c>
      <c r="BV79" s="43">
        <f>'$$xSchpostCouncil 22'!BV79/'$$xSchpostCouncil 22'!BV$123</f>
        <v>0</v>
      </c>
      <c r="BW79" s="43">
        <f>'$$xSchpostCouncil 22'!BW79/'$$xSchpostCouncil 22'!BW$123</f>
        <v>0</v>
      </c>
      <c r="BX79" s="6">
        <v>369601.5</v>
      </c>
      <c r="BY79" s="6"/>
      <c r="BZ79" s="6"/>
      <c r="CA79" s="6"/>
      <c r="CB79" s="6"/>
      <c r="CC79" s="6"/>
      <c r="CD79" s="6"/>
      <c r="CE79" s="6"/>
      <c r="CF79" s="6">
        <v>112569</v>
      </c>
      <c r="CI79" s="43">
        <f>'$$xSchpostCouncil 22'!CI79/'$$xSchpostCouncil 22'!CI$123</f>
        <v>1</v>
      </c>
      <c r="CJ79" s="43">
        <f>'$$xSchpostCouncil 22'!CJ79/'$$xSchpostCouncil 22'!CJ$123</f>
        <v>0</v>
      </c>
      <c r="CK79" s="43">
        <f>'$$xSchpostCouncil 22'!CK79/'$$xSchpostCouncil 22'!CK$123</f>
        <v>0.50000550182110282</v>
      </c>
      <c r="CL79" s="43">
        <f>'$$xSchpostCouncil 22'!CL79/'$$xSchpostCouncil 22'!CL$123</f>
        <v>0</v>
      </c>
      <c r="CM79" s="43">
        <f>'$$xSchpostCouncil 22'!CM79/'$$xSchpostCouncil 22'!CM$123</f>
        <v>0</v>
      </c>
      <c r="CN79" s="43">
        <f>'$$xSchpostCouncil 22'!CN79/'$$xSchpostCouncil 22'!CN$123</f>
        <v>0</v>
      </c>
      <c r="CO79" s="43">
        <f>'$$xSchpostCouncil 22'!CO79/'$$xSchpostCouncil 22'!CO$123</f>
        <v>3</v>
      </c>
      <c r="CP79" s="43">
        <f>'$$xSchpostCouncil 22'!CP79/'$$xSchpostCouncil 22'!CP$123</f>
        <v>2</v>
      </c>
      <c r="CQ79" s="43">
        <f>'$$xSchpostCouncil 22'!CQ79/'$$xSchpostCouncil 22'!CQ$123</f>
        <v>10</v>
      </c>
      <c r="CR79" s="43">
        <f>'$$xSchpostCouncil 22'!CR79/'$$xSchpostCouncil 22'!CR$123</f>
        <v>0</v>
      </c>
      <c r="CS79" s="6"/>
      <c r="CT79" s="6"/>
      <c r="CU79" s="6"/>
      <c r="CV79" s="43">
        <f>'$$xSchpostCouncil 22'!CV79/'$$xSchpostCouncil 22'!CV$123</f>
        <v>0</v>
      </c>
      <c r="CW79" s="43">
        <f>'$$xSchpostCouncil 22'!CW79/'$$xSchpostCouncil 22'!CW$123</f>
        <v>0</v>
      </c>
      <c r="CX79" s="6">
        <v>0</v>
      </c>
      <c r="CY79" s="6"/>
      <c r="CZ79" s="6"/>
      <c r="DB79" s="43">
        <f>'$$xSchpostCouncil 22'!DB79/'$$xSchpostCouncil 22'!DB$123</f>
        <v>0</v>
      </c>
      <c r="DC79" s="43">
        <f>'$$xSchpostCouncil 22'!DC79/'$$xSchpostCouncil 22'!DC$123</f>
        <v>0</v>
      </c>
      <c r="DF79" s="43">
        <f>'$$xSchpostCouncil 22'!DF79/'$$xSchpostCouncil 22'!DF$123</f>
        <v>0</v>
      </c>
      <c r="DG79" s="43">
        <f>'$$xSchpostCouncil 22'!DG79/'$$xSchpostCouncil 22'!DG$123</f>
        <v>0</v>
      </c>
      <c r="DH79" s="43">
        <f>'$$xSchpostCouncil 22'!DH79/'$$xSchpostCouncil 22'!DH$123</f>
        <v>0</v>
      </c>
      <c r="DI79" s="43">
        <f>'$$xSchpostCouncil 22'!DI79/'$$xSchpostCouncil 22'!DI$123</f>
        <v>0</v>
      </c>
      <c r="DJ79" s="43">
        <f>'$$xSchpostCouncil 22'!DJ79/'$$xSchpostCouncil 22'!DJ$123</f>
        <v>0</v>
      </c>
      <c r="DK79" s="43">
        <f>'$$xSchpostCouncil 22'!DK79/'$$xSchpostCouncil 22'!DK$123</f>
        <v>0</v>
      </c>
      <c r="DL79" s="6">
        <v>2915</v>
      </c>
      <c r="DM79" s="6"/>
      <c r="DN79" s="43">
        <f>'$$xSchpostCouncil 22'!DN79/'$$xSchpostCouncil 22'!DN$123</f>
        <v>0</v>
      </c>
      <c r="DO79" s="6"/>
      <c r="DP79" s="6">
        <v>17550</v>
      </c>
      <c r="DU79" s="6">
        <f>VLOOKUP($A79,[3]Totals!$B$2:$K$119,10,FALSE)</f>
        <v>106431.58</v>
      </c>
      <c r="DV79" s="6">
        <f>VLOOKUP($A79,[3]Totals!$B$2:$K$119,9,FALSE)</f>
        <v>0</v>
      </c>
    </row>
    <row r="80" spans="1:126" x14ac:dyDescent="0.2">
      <c r="A80" s="3">
        <v>292</v>
      </c>
      <c r="B80" s="2" t="s">
        <v>49</v>
      </c>
      <c r="C80" t="s">
        <v>4</v>
      </c>
      <c r="D80">
        <v>3</v>
      </c>
      <c r="E80" s="1">
        <v>761</v>
      </c>
      <c r="F80" s="4">
        <v>0.112</v>
      </c>
      <c r="G80">
        <v>85</v>
      </c>
      <c r="H80" s="43">
        <f>'$$xSchpostCouncil 22'!H80/'$$xSchpostCouncil 22'!H$123</f>
        <v>1</v>
      </c>
      <c r="I80" s="43">
        <f>'$$xSchpostCouncil 22'!I80/'$$xSchpostCouncil 22'!I$123</f>
        <v>1</v>
      </c>
      <c r="J80" s="43">
        <f>'$$xSchpostCouncil 22'!J80/'$$xSchpostCouncil 22'!J$123</f>
        <v>0</v>
      </c>
      <c r="K80" s="43">
        <f>'$$xSchpostCouncil 22'!K80/'$$xSchpostCouncil 22'!K$123</f>
        <v>1</v>
      </c>
      <c r="L80" s="6">
        <v>8099</v>
      </c>
      <c r="M80" s="43">
        <f>'$$xSchpostCouncil 22'!M80/'$$xSchpostCouncil 22'!M$123</f>
        <v>2</v>
      </c>
      <c r="N80" s="43">
        <f>'$$xSchpostCouncil 22'!N80/'$$xSchpostCouncil 22'!N$123</f>
        <v>1</v>
      </c>
      <c r="O80" s="43">
        <f>'$$xSchpostCouncil 22'!O80/'$$xSchpostCouncil 22'!O$123</f>
        <v>4</v>
      </c>
      <c r="P80" s="43">
        <f>'$$xSchpostCouncil 22'!P80/'$$xSchpostCouncil 22'!P$123</f>
        <v>2</v>
      </c>
      <c r="Q80" s="43">
        <f>'$$xSchpostCouncil 22'!Q80/'$$xSchpostCouncil 22'!Q$123</f>
        <v>0</v>
      </c>
      <c r="R80" s="43">
        <f>'$$xSchpostCouncil 22'!R80/'$$xSchpostCouncil 22'!R$123</f>
        <v>0</v>
      </c>
      <c r="S80" s="43">
        <f>'$$xSchpostCouncil 22'!S80/'$$xSchpostCouncil 22'!S$123</f>
        <v>2</v>
      </c>
      <c r="T80" s="43">
        <f>'$$xSchpostCouncil 22'!T80/'$$xSchpostCouncil 22'!T$123</f>
        <v>2</v>
      </c>
      <c r="U80" s="6"/>
      <c r="V80" s="6"/>
      <c r="W80" s="6"/>
      <c r="X80" s="6"/>
      <c r="Y80" s="43">
        <f>'$$xSchpostCouncil 22'!Y80/'$$xSchpostCouncil 22'!Y$123</f>
        <v>0</v>
      </c>
      <c r="Z80" s="43">
        <f>'$$xSchpostCouncil 22'!Z80/'$$xSchpostCouncil 22'!Z$123</f>
        <v>0</v>
      </c>
      <c r="AA80" s="43">
        <f>'$$xSchpostCouncil 22'!AA80/'$$xSchpostCouncil 22'!AA$123</f>
        <v>0</v>
      </c>
      <c r="AB80" s="43">
        <f>'$$xSchpostCouncil 22'!AB80/'$$xSchpostCouncil 22'!AB$123</f>
        <v>0</v>
      </c>
      <c r="AC80" s="6"/>
      <c r="AD80" s="6">
        <v>266389</v>
      </c>
      <c r="AE80" s="43">
        <f>'$$xSchpostCouncil 22'!AE80/'$$xSchpostCouncil 22'!AE$123</f>
        <v>1</v>
      </c>
      <c r="AF80" s="43">
        <f>'$$xSchpostCouncil 22'!AF80/'$$xSchpostCouncil 22'!AF$123</f>
        <v>2</v>
      </c>
      <c r="AG80" s="43">
        <f>'$$xSchpostCouncil 22'!AG80/'$$xSchpostCouncil 22'!AG$123</f>
        <v>7</v>
      </c>
      <c r="AH80" s="43">
        <f>'$$xSchpostCouncil 22'!AH80/'$$xSchpostCouncil 22'!AH$123</f>
        <v>0</v>
      </c>
      <c r="AI80" s="43">
        <f>'$$xSchpostCouncil 22'!AI80/'$$xSchpostCouncil 22'!AI$123</f>
        <v>0</v>
      </c>
      <c r="AJ80" s="43"/>
      <c r="AK80" s="43">
        <f>'$$xSchpostCouncil 22'!AK80/'$$xSchpostCouncil 22'!AK$123</f>
        <v>0</v>
      </c>
      <c r="AL80" s="43">
        <f>'$$xSchpostCouncil 22'!AL80/'$$xSchpostCouncil 22'!AL$123</f>
        <v>0</v>
      </c>
      <c r="AM80" s="6"/>
      <c r="AN80" s="6"/>
      <c r="AO80" s="43">
        <f>'$$xSchpostCouncil 22'!AO80/'$$xSchpostCouncil 22'!AO$123</f>
        <v>9</v>
      </c>
      <c r="AP80" s="43">
        <f>'$$xSchpostCouncil 22'!AP80/'$$xSchpostCouncil 22'!AP$123</f>
        <v>0</v>
      </c>
      <c r="AQ80" s="43">
        <f>'$$xSchpostCouncil 22'!AQ80/'$$xSchpostCouncil 22'!AQ$123</f>
        <v>0</v>
      </c>
      <c r="AR80" s="6"/>
      <c r="AS80" s="6"/>
      <c r="AT80" s="6"/>
      <c r="AU80" s="6"/>
      <c r="AV80" s="6"/>
      <c r="AW80" s="6">
        <v>0</v>
      </c>
      <c r="AX80" s="6"/>
      <c r="AY80" s="6"/>
      <c r="AZ80" s="6">
        <v>0</v>
      </c>
      <c r="BA80" s="6"/>
      <c r="BB80" s="6">
        <v>19025</v>
      </c>
      <c r="BC80" s="43">
        <f>'$$xSchpostCouncil 22'!BC80/'$$xSchpostCouncil 22'!BC$123</f>
        <v>0</v>
      </c>
      <c r="BD80" s="43">
        <f>'$$xSchpostCouncil 22'!BD80/'$$xSchpostCouncil 22'!BD$123</f>
        <v>0</v>
      </c>
      <c r="BE80" s="6"/>
      <c r="BF80" s="6"/>
      <c r="BG80" s="6"/>
      <c r="BH80" s="43">
        <f>'$$xSchpostCouncil 22'!BH80/'$$xSchpostCouncil 22'!BH$123</f>
        <v>0</v>
      </c>
      <c r="BI80" s="6"/>
      <c r="BJ80" s="43">
        <f>'$$xSchpostCouncil 22'!BJ80/'$$xSchpostCouncil 22'!BJ$123</f>
        <v>0</v>
      </c>
      <c r="BK80" s="6"/>
      <c r="BL80" s="43">
        <f>'$$xSchpostCouncil 22'!BL80/'$$xSchpostCouncil 22'!BL$123</f>
        <v>0</v>
      </c>
      <c r="BM80" s="6"/>
      <c r="BN80" s="43">
        <f>'$$xSchpostCouncil 22'!BN80/'$$xSchpostCouncil 22'!BN$123</f>
        <v>0</v>
      </c>
      <c r="BO80" s="43">
        <f>'$$xSchpostCouncil 22'!BO80/'$$xSchpostCouncil 22'!BO$123</f>
        <v>0</v>
      </c>
      <c r="BP80" s="6"/>
      <c r="BQ80" s="6"/>
      <c r="BR80" s="6"/>
      <c r="BS80" s="6">
        <v>500000</v>
      </c>
      <c r="BT80" s="6"/>
      <c r="BU80" s="43">
        <f>'$$xSchpostCouncil 22'!BU80/'$$xSchpostCouncil 22'!BU$123</f>
        <v>0</v>
      </c>
      <c r="BV80" s="43">
        <f>'$$xSchpostCouncil 22'!BV80/'$$xSchpostCouncil 22'!BV$123</f>
        <v>0</v>
      </c>
      <c r="BW80" s="43">
        <f>'$$xSchpostCouncil 22'!BW80/'$$xSchpostCouncil 22'!BW$123</f>
        <v>0</v>
      </c>
      <c r="BX80" s="6">
        <v>215179</v>
      </c>
      <c r="BY80" s="6"/>
      <c r="BZ80" s="6"/>
      <c r="CA80" s="6"/>
      <c r="CB80" s="6"/>
      <c r="CC80" s="6"/>
      <c r="CD80" s="6"/>
      <c r="CE80" s="6"/>
      <c r="CF80" s="6">
        <v>337707</v>
      </c>
      <c r="CI80" s="43">
        <f>'$$xSchpostCouncil 22'!CI80/'$$xSchpostCouncil 22'!CI$123</f>
        <v>2</v>
      </c>
      <c r="CJ80" s="43">
        <f>'$$xSchpostCouncil 22'!CJ80/'$$xSchpostCouncil 22'!CJ$123</f>
        <v>2.1000006388592527</v>
      </c>
      <c r="CK80" s="43">
        <f>'$$xSchpostCouncil 22'!CK80/'$$xSchpostCouncil 22'!CK$123</f>
        <v>1</v>
      </c>
      <c r="CL80" s="43">
        <f>'$$xSchpostCouncil 22'!CL80/'$$xSchpostCouncil 22'!CL$123</f>
        <v>1.8999980252374653</v>
      </c>
      <c r="CM80" s="43">
        <f>'$$xSchpostCouncil 22'!CM80/'$$xSchpostCouncil 22'!CM$123</f>
        <v>0</v>
      </c>
      <c r="CN80" s="43">
        <f>'$$xSchpostCouncil 22'!CN80/'$$xSchpostCouncil 22'!CN$123</f>
        <v>0</v>
      </c>
      <c r="CO80" s="43">
        <f>'$$xSchpostCouncil 22'!CO80/'$$xSchpostCouncil 22'!CO$123</f>
        <v>5.500004441720189</v>
      </c>
      <c r="CP80" s="43">
        <f>'$$xSchpostCouncil 22'!CP80/'$$xSchpostCouncil 22'!CP$123</f>
        <v>4</v>
      </c>
      <c r="CQ80" s="43">
        <f>'$$xSchpostCouncil 22'!CQ80/'$$xSchpostCouncil 22'!CQ$123</f>
        <v>35.200001776688076</v>
      </c>
      <c r="CR80" s="43">
        <f>'$$xSchpostCouncil 22'!CR80/'$$xSchpostCouncil 22'!CR$123</f>
        <v>2</v>
      </c>
      <c r="CS80" s="6">
        <v>23000</v>
      </c>
      <c r="CT80" s="6"/>
      <c r="CU80" s="6">
        <v>100000</v>
      </c>
      <c r="CV80" s="43">
        <f>'$$xSchpostCouncil 22'!CV80/'$$xSchpostCouncil 22'!CV$123</f>
        <v>0</v>
      </c>
      <c r="CW80" s="43">
        <f>'$$xSchpostCouncil 22'!CW80/'$$xSchpostCouncil 22'!CW$123</f>
        <v>0</v>
      </c>
      <c r="CX80" s="6">
        <v>0</v>
      </c>
      <c r="CY80" s="6"/>
      <c r="CZ80" s="6"/>
      <c r="DB80" s="43">
        <f>'$$xSchpostCouncil 22'!DB80/'$$xSchpostCouncil 22'!DB$123</f>
        <v>2</v>
      </c>
      <c r="DC80" s="43">
        <f>'$$xSchpostCouncil 22'!DC80/'$$xSchpostCouncil 22'!DC$123</f>
        <v>0</v>
      </c>
      <c r="DF80" s="43">
        <f>'$$xSchpostCouncil 22'!DF80/'$$xSchpostCouncil 22'!DF$123</f>
        <v>0</v>
      </c>
      <c r="DG80" s="43">
        <f>'$$xSchpostCouncil 22'!DG80/'$$xSchpostCouncil 22'!DG$123</f>
        <v>1</v>
      </c>
      <c r="DH80" s="43">
        <f>'$$xSchpostCouncil 22'!DH80/'$$xSchpostCouncil 22'!DH$123</f>
        <v>0</v>
      </c>
      <c r="DI80" s="43">
        <f>'$$xSchpostCouncil 22'!DI80/'$$xSchpostCouncil 22'!DI$123</f>
        <v>0</v>
      </c>
      <c r="DJ80" s="43">
        <f>'$$xSchpostCouncil 22'!DJ80/'$$xSchpostCouncil 22'!DJ$123</f>
        <v>0</v>
      </c>
      <c r="DK80" s="43">
        <f>'$$xSchpostCouncil 22'!DK80/'$$xSchpostCouncil 22'!DK$123</f>
        <v>0</v>
      </c>
      <c r="DL80" s="6"/>
      <c r="DM80" s="6"/>
      <c r="DN80" s="43">
        <f>'$$xSchpostCouncil 22'!DN80/'$$xSchpostCouncil 22'!DN$123</f>
        <v>0</v>
      </c>
      <c r="DO80" s="6"/>
      <c r="DP80" s="6">
        <v>7175</v>
      </c>
      <c r="DU80" s="6">
        <f>VLOOKUP($A80,[3]Totals!$B$2:$K$119,10,FALSE)</f>
        <v>90210.68</v>
      </c>
      <c r="DV80" s="6">
        <f>VLOOKUP($A80,[3]Totals!$B$2:$K$119,9,FALSE)</f>
        <v>168854</v>
      </c>
    </row>
    <row r="81" spans="1:126" x14ac:dyDescent="0.2">
      <c r="A81" s="3">
        <v>294</v>
      </c>
      <c r="B81" s="2" t="s">
        <v>48</v>
      </c>
      <c r="C81" t="s">
        <v>7</v>
      </c>
      <c r="D81">
        <v>8</v>
      </c>
      <c r="E81" s="1">
        <v>314</v>
      </c>
      <c r="F81" s="4">
        <v>0.85699999999999998</v>
      </c>
      <c r="G81">
        <v>269</v>
      </c>
      <c r="H81" s="43">
        <f>'$$xSchpostCouncil 22'!H81/'$$xSchpostCouncil 22'!H$123</f>
        <v>1</v>
      </c>
      <c r="I81" s="43">
        <f>'$$xSchpostCouncil 22'!I81/'$$xSchpostCouncil 22'!I$123</f>
        <v>0</v>
      </c>
      <c r="J81" s="43">
        <f>'$$xSchpostCouncil 22'!J81/'$$xSchpostCouncil 22'!J$123</f>
        <v>0</v>
      </c>
      <c r="K81" s="43">
        <f>'$$xSchpostCouncil 22'!K81/'$$xSchpostCouncil 22'!K$123</f>
        <v>1</v>
      </c>
      <c r="L81" s="6">
        <v>4924</v>
      </c>
      <c r="M81" s="43">
        <f>'$$xSchpostCouncil 22'!M81/'$$xSchpostCouncil 22'!M$123</f>
        <v>1</v>
      </c>
      <c r="N81" s="43">
        <f>'$$xSchpostCouncil 22'!N81/'$$xSchpostCouncil 22'!N$123</f>
        <v>1</v>
      </c>
      <c r="O81" s="43">
        <f>'$$xSchpostCouncil 22'!O81/'$$xSchpostCouncil 22'!O$123</f>
        <v>2</v>
      </c>
      <c r="P81" s="43">
        <f>'$$xSchpostCouncil 22'!P81/'$$xSchpostCouncil 22'!P$123</f>
        <v>1</v>
      </c>
      <c r="Q81" s="43">
        <f>'$$xSchpostCouncil 22'!Q81/'$$xSchpostCouncil 22'!Q$123</f>
        <v>2</v>
      </c>
      <c r="R81" s="43">
        <f>'$$xSchpostCouncil 22'!R81/'$$xSchpostCouncil 22'!R$123</f>
        <v>0</v>
      </c>
      <c r="S81" s="43">
        <f>'$$xSchpostCouncil 22'!S81/'$$xSchpostCouncil 22'!S$123</f>
        <v>2</v>
      </c>
      <c r="T81" s="43">
        <f>'$$xSchpostCouncil 22'!T81/'$$xSchpostCouncil 22'!T$123</f>
        <v>4</v>
      </c>
      <c r="U81" s="6"/>
      <c r="V81" s="6"/>
      <c r="W81" s="6"/>
      <c r="X81" s="6"/>
      <c r="Y81" s="43">
        <f>'$$xSchpostCouncil 22'!Y81/'$$xSchpostCouncil 22'!Y$123</f>
        <v>0</v>
      </c>
      <c r="Z81" s="43">
        <f>'$$xSchpostCouncil 22'!Z81/'$$xSchpostCouncil 22'!Z$123</f>
        <v>0</v>
      </c>
      <c r="AA81" s="43">
        <f>'$$xSchpostCouncil 22'!AA81/'$$xSchpostCouncil 22'!AA$123</f>
        <v>0</v>
      </c>
      <c r="AB81" s="43">
        <f>'$$xSchpostCouncil 22'!AB81/'$$xSchpostCouncil 22'!AB$123</f>
        <v>0</v>
      </c>
      <c r="AC81" s="6"/>
      <c r="AD81" s="6">
        <v>121023</v>
      </c>
      <c r="AE81" s="43">
        <f>'$$xSchpostCouncil 22'!AE81/'$$xSchpostCouncil 22'!AE$123</f>
        <v>1</v>
      </c>
      <c r="AF81" s="43">
        <f>'$$xSchpostCouncil 22'!AF81/'$$xSchpostCouncil 22'!AF$123</f>
        <v>1</v>
      </c>
      <c r="AG81" s="43">
        <f>'$$xSchpostCouncil 22'!AG81/'$$xSchpostCouncil 22'!AG$123</f>
        <v>7</v>
      </c>
      <c r="AH81" s="43">
        <f>'$$xSchpostCouncil 22'!AH81/'$$xSchpostCouncil 22'!AH$123</f>
        <v>0</v>
      </c>
      <c r="AI81" s="43">
        <f>'$$xSchpostCouncil 22'!AI81/'$$xSchpostCouncil 22'!AI$123</f>
        <v>7</v>
      </c>
      <c r="AJ81" s="43"/>
      <c r="AK81" s="43">
        <f>'$$xSchpostCouncil 22'!AK81/'$$xSchpostCouncil 22'!AK$123</f>
        <v>0</v>
      </c>
      <c r="AL81" s="43">
        <f>'$$xSchpostCouncil 22'!AL81/'$$xSchpostCouncil 22'!AL$123</f>
        <v>0</v>
      </c>
      <c r="AM81" s="6"/>
      <c r="AN81" s="6"/>
      <c r="AO81" s="43">
        <f>'$$xSchpostCouncil 22'!AO81/'$$xSchpostCouncil 22'!AO$123</f>
        <v>0</v>
      </c>
      <c r="AP81" s="43">
        <f>'$$xSchpostCouncil 22'!AP81/'$$xSchpostCouncil 22'!AP$123</f>
        <v>4.9996002451829544E-2</v>
      </c>
      <c r="AQ81" s="43">
        <f>'$$xSchpostCouncil 22'!AQ81/'$$xSchpostCouncil 22'!AQ$123</f>
        <v>0</v>
      </c>
      <c r="AR81" s="6"/>
      <c r="AS81" s="6">
        <f>54400-27200</f>
        <v>27200</v>
      </c>
      <c r="AT81" s="6">
        <f>54400-27200</f>
        <v>27200</v>
      </c>
      <c r="AU81" s="6">
        <v>10200</v>
      </c>
      <c r="AV81" s="6"/>
      <c r="AW81" s="6">
        <v>54400</v>
      </c>
      <c r="AX81" s="6"/>
      <c r="AY81" s="6"/>
      <c r="AZ81" s="6">
        <v>249028.39500000002</v>
      </c>
      <c r="BA81" s="6"/>
      <c r="BB81" s="6"/>
      <c r="BC81" s="43">
        <f>'$$xSchpostCouncil 22'!BC81/'$$xSchpostCouncil 22'!BC$123</f>
        <v>1</v>
      </c>
      <c r="BD81" s="43">
        <f>'$$xSchpostCouncil 22'!BD81/'$$xSchpostCouncil 22'!BD$123</f>
        <v>0</v>
      </c>
      <c r="BE81" s="6"/>
      <c r="BF81" s="6"/>
      <c r="BG81" s="6"/>
      <c r="BH81" s="43">
        <f>'$$xSchpostCouncil 22'!BH81/'$$xSchpostCouncil 22'!BH$123</f>
        <v>0</v>
      </c>
      <c r="BI81" s="6"/>
      <c r="BJ81" s="43">
        <f>'$$xSchpostCouncil 22'!BJ81/'$$xSchpostCouncil 22'!BJ$123</f>
        <v>0</v>
      </c>
      <c r="BK81" s="6"/>
      <c r="BL81" s="43">
        <f>'$$xSchpostCouncil 22'!BL81/'$$xSchpostCouncil 22'!BL$123</f>
        <v>0</v>
      </c>
      <c r="BM81" s="6"/>
      <c r="BN81" s="43">
        <f>'$$xSchpostCouncil 22'!BN81/'$$xSchpostCouncil 22'!BN$123</f>
        <v>0</v>
      </c>
      <c r="BO81" s="43">
        <f>'$$xSchpostCouncil 22'!BO81/'$$xSchpostCouncil 22'!BO$123</f>
        <v>0</v>
      </c>
      <c r="BP81" s="6"/>
      <c r="BQ81" s="6"/>
      <c r="BR81" s="6"/>
      <c r="BS81" s="6"/>
      <c r="BT81" s="6"/>
      <c r="BU81" s="43">
        <f>'$$xSchpostCouncil 22'!BU81/'$$xSchpostCouncil 22'!BU$123</f>
        <v>0</v>
      </c>
      <c r="BV81" s="43">
        <f>'$$xSchpostCouncil 22'!BV81/'$$xSchpostCouncil 22'!BV$123</f>
        <v>0</v>
      </c>
      <c r="BW81" s="43">
        <f>'$$xSchpostCouncil 22'!BW81/'$$xSchpostCouncil 22'!BW$123</f>
        <v>0</v>
      </c>
      <c r="BX81" s="6">
        <v>680977</v>
      </c>
      <c r="BY81" s="6"/>
      <c r="BZ81" s="6"/>
      <c r="CA81" s="6"/>
      <c r="CB81" s="6"/>
      <c r="CC81" s="6">
        <v>791309</v>
      </c>
      <c r="CD81" s="6"/>
      <c r="CE81" s="6">
        <v>112569</v>
      </c>
      <c r="CF81" s="6">
        <v>0</v>
      </c>
      <c r="CI81" s="43">
        <f>'$$xSchpostCouncil 22'!CI81/'$$xSchpostCouncil 22'!CI$123</f>
        <v>1</v>
      </c>
      <c r="CJ81" s="43">
        <f>'$$xSchpostCouncil 22'!CJ81/'$$xSchpostCouncil 22'!CJ$123</f>
        <v>0.79999872228149416</v>
      </c>
      <c r="CK81" s="43">
        <f>'$$xSchpostCouncil 22'!CK81/'$$xSchpostCouncil 22'!CK$123</f>
        <v>1</v>
      </c>
      <c r="CL81" s="43">
        <f>'$$xSchpostCouncil 22'!CL81/'$$xSchpostCouncil 22'!CL$123</f>
        <v>0</v>
      </c>
      <c r="CM81" s="43">
        <f>'$$xSchpostCouncil 22'!CM81/'$$xSchpostCouncil 22'!CM$123</f>
        <v>0</v>
      </c>
      <c r="CN81" s="43">
        <f>'$$xSchpostCouncil 22'!CN81/'$$xSchpostCouncil 22'!CN$123</f>
        <v>0</v>
      </c>
      <c r="CO81" s="43">
        <f>'$$xSchpostCouncil 22'!CO81/'$$xSchpostCouncil 22'!CO$123</f>
        <v>3</v>
      </c>
      <c r="CP81" s="43">
        <f>'$$xSchpostCouncil 22'!CP81/'$$xSchpostCouncil 22'!CP$123</f>
        <v>2</v>
      </c>
      <c r="CQ81" s="43">
        <f>'$$xSchpostCouncil 22'!CQ81/'$$xSchpostCouncil 22'!CQ$123</f>
        <v>12</v>
      </c>
      <c r="CR81" s="43">
        <f>'$$xSchpostCouncil 22'!CR81/'$$xSchpostCouncil 22'!CR$123</f>
        <v>0</v>
      </c>
      <c r="CS81" s="6"/>
      <c r="CT81" s="6"/>
      <c r="CU81" s="6"/>
      <c r="CV81" s="43">
        <f>'$$xSchpostCouncil 22'!CV81/'$$xSchpostCouncil 22'!CV$123</f>
        <v>0</v>
      </c>
      <c r="CW81" s="43">
        <f>'$$xSchpostCouncil 22'!CW81/'$$xSchpostCouncil 22'!CW$123</f>
        <v>0</v>
      </c>
      <c r="CX81" s="6">
        <v>0</v>
      </c>
      <c r="CY81" s="6">
        <v>75000</v>
      </c>
      <c r="CZ81" s="6"/>
      <c r="DB81" s="43">
        <f>'$$xSchpostCouncil 22'!DB81/'$$xSchpostCouncil 22'!DB$123</f>
        <v>0</v>
      </c>
      <c r="DC81" s="43">
        <f>'$$xSchpostCouncil 22'!DC81/'$$xSchpostCouncil 22'!DC$123</f>
        <v>0</v>
      </c>
      <c r="DF81" s="43">
        <f>'$$xSchpostCouncil 22'!DF81/'$$xSchpostCouncil 22'!DF$123</f>
        <v>0</v>
      </c>
      <c r="DG81" s="43">
        <f>'$$xSchpostCouncil 22'!DG81/'$$xSchpostCouncil 22'!DG$123</f>
        <v>1.5000044417201894</v>
      </c>
      <c r="DH81" s="43">
        <f>'$$xSchpostCouncil 22'!DH81/'$$xSchpostCouncil 22'!DH$123</f>
        <v>0</v>
      </c>
      <c r="DI81" s="43">
        <f>'$$xSchpostCouncil 22'!DI81/'$$xSchpostCouncil 22'!DI$123</f>
        <v>0</v>
      </c>
      <c r="DJ81" s="43">
        <f>'$$xSchpostCouncil 22'!DJ81/'$$xSchpostCouncil 22'!DJ$123</f>
        <v>0</v>
      </c>
      <c r="DK81" s="43">
        <f>'$$xSchpostCouncil 22'!DK81/'$$xSchpostCouncil 22'!DK$123</f>
        <v>0</v>
      </c>
      <c r="DL81" s="6">
        <v>10812</v>
      </c>
      <c r="DM81" s="6"/>
      <c r="DN81" s="43">
        <f>'$$xSchpostCouncil 22'!DN81/'$$xSchpostCouncil 22'!DN$123</f>
        <v>0</v>
      </c>
      <c r="DO81" s="6"/>
      <c r="DP81" s="6">
        <v>27950</v>
      </c>
      <c r="DU81" s="6">
        <f>VLOOKUP($A81,[3]Totals!$B$2:$K$119,10,FALSE)</f>
        <v>134556.64000000001</v>
      </c>
      <c r="DV81" s="6">
        <f>VLOOKUP($A81,[3]Totals!$B$2:$K$119,9,FALSE)</f>
        <v>196265.3</v>
      </c>
    </row>
    <row r="82" spans="1:126" x14ac:dyDescent="0.2">
      <c r="A82" s="3">
        <v>295</v>
      </c>
      <c r="B82" s="2" t="s">
        <v>47</v>
      </c>
      <c r="C82" t="s">
        <v>7</v>
      </c>
      <c r="D82">
        <v>6</v>
      </c>
      <c r="E82" s="1">
        <v>324</v>
      </c>
      <c r="F82" s="4">
        <v>0.47799999999999998</v>
      </c>
      <c r="G82">
        <v>155</v>
      </c>
      <c r="H82" s="43">
        <f>'$$xSchpostCouncil 22'!H82/'$$xSchpostCouncil 22'!H$123</f>
        <v>1</v>
      </c>
      <c r="I82" s="43">
        <f>'$$xSchpostCouncil 22'!I82/'$$xSchpostCouncil 22'!I$123</f>
        <v>0</v>
      </c>
      <c r="J82" s="43">
        <f>'$$xSchpostCouncil 22'!J82/'$$xSchpostCouncil 22'!J$123</f>
        <v>0</v>
      </c>
      <c r="K82" s="43">
        <f>'$$xSchpostCouncil 22'!K82/'$$xSchpostCouncil 22'!K$123</f>
        <v>1</v>
      </c>
      <c r="L82" s="6">
        <v>6357</v>
      </c>
      <c r="M82" s="43">
        <f>'$$xSchpostCouncil 22'!M82/'$$xSchpostCouncil 22'!M$123</f>
        <v>1</v>
      </c>
      <c r="N82" s="43">
        <f>'$$xSchpostCouncil 22'!N82/'$$xSchpostCouncil 22'!N$123</f>
        <v>1</v>
      </c>
      <c r="O82" s="43">
        <f>'$$xSchpostCouncil 22'!O82/'$$xSchpostCouncil 22'!O$123</f>
        <v>2</v>
      </c>
      <c r="P82" s="43">
        <f>'$$xSchpostCouncil 22'!P82/'$$xSchpostCouncil 22'!P$123</f>
        <v>1</v>
      </c>
      <c r="Q82" s="43">
        <f>'$$xSchpostCouncil 22'!Q82/'$$xSchpostCouncil 22'!Q$123</f>
        <v>3</v>
      </c>
      <c r="R82" s="43">
        <f>'$$xSchpostCouncil 22'!R82/'$$xSchpostCouncil 22'!R$123</f>
        <v>0</v>
      </c>
      <c r="S82" s="43">
        <f>'$$xSchpostCouncil 22'!S82/'$$xSchpostCouncil 22'!S$123</f>
        <v>2</v>
      </c>
      <c r="T82" s="43">
        <f>'$$xSchpostCouncil 22'!T82/'$$xSchpostCouncil 22'!T$123</f>
        <v>5</v>
      </c>
      <c r="U82" s="6"/>
      <c r="V82" s="6"/>
      <c r="W82" s="6"/>
      <c r="X82" s="6"/>
      <c r="Y82" s="43">
        <f>'$$xSchpostCouncil 22'!Y82/'$$xSchpostCouncil 22'!Y$123</f>
        <v>0</v>
      </c>
      <c r="Z82" s="43">
        <f>'$$xSchpostCouncil 22'!Z82/'$$xSchpostCouncil 22'!Z$123</f>
        <v>0</v>
      </c>
      <c r="AA82" s="43">
        <f>'$$xSchpostCouncil 22'!AA82/'$$xSchpostCouncil 22'!AA$123</f>
        <v>0</v>
      </c>
      <c r="AB82" s="43">
        <f>'$$xSchpostCouncil 22'!AB82/'$$xSchpostCouncil 22'!AB$123</f>
        <v>0</v>
      </c>
      <c r="AC82" s="6"/>
      <c r="AD82" s="6">
        <v>126736</v>
      </c>
      <c r="AE82" s="43">
        <f>'$$xSchpostCouncil 22'!AE82/'$$xSchpostCouncil 22'!AE$123</f>
        <v>1</v>
      </c>
      <c r="AF82" s="43">
        <f>'$$xSchpostCouncil 22'!AF82/'$$xSchpostCouncil 22'!AF$123</f>
        <v>3</v>
      </c>
      <c r="AG82" s="43">
        <f>'$$xSchpostCouncil 22'!AG82/'$$xSchpostCouncil 22'!AG$123</f>
        <v>8</v>
      </c>
      <c r="AH82" s="43">
        <f>'$$xSchpostCouncil 22'!AH82/'$$xSchpostCouncil 22'!AH$123</f>
        <v>0</v>
      </c>
      <c r="AI82" s="43">
        <f>'$$xSchpostCouncil 22'!AI82/'$$xSchpostCouncil 22'!AI$123</f>
        <v>5</v>
      </c>
      <c r="AJ82" s="43"/>
      <c r="AK82" s="43">
        <f>'$$xSchpostCouncil 22'!AK82/'$$xSchpostCouncil 22'!AK$123</f>
        <v>2</v>
      </c>
      <c r="AL82" s="43">
        <f>'$$xSchpostCouncil 22'!AL82/'$$xSchpostCouncil 22'!AL$123</f>
        <v>0</v>
      </c>
      <c r="AM82" s="6"/>
      <c r="AN82" s="6"/>
      <c r="AO82" s="43">
        <f>'$$xSchpostCouncil 22'!AO82/'$$xSchpostCouncil 22'!AO$123</f>
        <v>0</v>
      </c>
      <c r="AP82" s="43">
        <f>'$$xSchpostCouncil 22'!AP82/'$$xSchpostCouncil 22'!AP$123</f>
        <v>0.27000328687294017</v>
      </c>
      <c r="AQ82" s="43">
        <f>'$$xSchpostCouncil 22'!AQ82/'$$xSchpostCouncil 22'!AQ$123</f>
        <v>0</v>
      </c>
      <c r="AR82" s="6"/>
      <c r="AS82" s="6">
        <f>68000-34000</f>
        <v>34000</v>
      </c>
      <c r="AT82" s="6">
        <f>68000-44000</f>
        <v>24000</v>
      </c>
      <c r="AU82" s="6">
        <v>10200</v>
      </c>
      <c r="AV82" s="6"/>
      <c r="AW82" s="6">
        <v>78200</v>
      </c>
      <c r="AX82" s="6"/>
      <c r="AY82" s="6"/>
      <c r="AZ82" s="6">
        <v>146910.84000000003</v>
      </c>
      <c r="BA82" s="6"/>
      <c r="BB82" s="6"/>
      <c r="BC82" s="43">
        <f>'$$xSchpostCouncil 22'!BC82/'$$xSchpostCouncil 22'!BC$123</f>
        <v>0</v>
      </c>
      <c r="BD82" s="43">
        <f>'$$xSchpostCouncil 22'!BD82/'$$xSchpostCouncil 22'!BD$123</f>
        <v>0</v>
      </c>
      <c r="BE82" s="6"/>
      <c r="BF82" s="6"/>
      <c r="BG82" s="6"/>
      <c r="BH82" s="43">
        <f>'$$xSchpostCouncil 22'!BH82/'$$xSchpostCouncil 22'!BH$123</f>
        <v>0</v>
      </c>
      <c r="BI82" s="6"/>
      <c r="BJ82" s="43">
        <f>'$$xSchpostCouncil 22'!BJ82/'$$xSchpostCouncil 22'!BJ$123</f>
        <v>0</v>
      </c>
      <c r="BK82" s="6"/>
      <c r="BL82" s="43">
        <f>'$$xSchpostCouncil 22'!BL82/'$$xSchpostCouncil 22'!BL$123</f>
        <v>0</v>
      </c>
      <c r="BM82" s="6"/>
      <c r="BN82" s="43">
        <f>'$$xSchpostCouncil 22'!BN82/'$$xSchpostCouncil 22'!BN$123</f>
        <v>0</v>
      </c>
      <c r="BO82" s="43">
        <f>'$$xSchpostCouncil 22'!BO82/'$$xSchpostCouncil 22'!BO$123</f>
        <v>0</v>
      </c>
      <c r="BP82" s="6"/>
      <c r="BQ82" s="6"/>
      <c r="BR82" s="6"/>
      <c r="BS82" s="6"/>
      <c r="BT82" s="6"/>
      <c r="BU82" s="43">
        <f>'$$xSchpostCouncil 22'!BU82/'$$xSchpostCouncil 22'!BU$123</f>
        <v>0</v>
      </c>
      <c r="BV82" s="43">
        <f>'$$xSchpostCouncil 22'!BV82/'$$xSchpostCouncil 22'!BV$123</f>
        <v>0</v>
      </c>
      <c r="BW82" s="43">
        <f>'$$xSchpostCouncil 22'!BW82/'$$xSchpostCouncil 22'!BW$123</f>
        <v>0</v>
      </c>
      <c r="BX82" s="6">
        <v>392386</v>
      </c>
      <c r="BY82" s="6"/>
      <c r="BZ82" s="6"/>
      <c r="CA82" s="6"/>
      <c r="CB82" s="6"/>
      <c r="CC82" s="6"/>
      <c r="CD82" s="6"/>
      <c r="CE82" s="6"/>
      <c r="CF82" s="6">
        <v>0</v>
      </c>
      <c r="CI82" s="43">
        <f>'$$xSchpostCouncil 22'!CI82/'$$xSchpostCouncil 22'!CI$123</f>
        <v>1</v>
      </c>
      <c r="CJ82" s="43">
        <f>'$$xSchpostCouncil 22'!CJ82/'$$xSchpostCouncil 22'!CJ$123</f>
        <v>0.79999872228149416</v>
      </c>
      <c r="CK82" s="43">
        <f>'$$xSchpostCouncil 22'!CK82/'$$xSchpostCouncil 22'!CK$123</f>
        <v>1</v>
      </c>
      <c r="CL82" s="43">
        <f>'$$xSchpostCouncil 22'!CL82/'$$xSchpostCouncil 22'!CL$123</f>
        <v>0</v>
      </c>
      <c r="CM82" s="43">
        <f>'$$xSchpostCouncil 22'!CM82/'$$xSchpostCouncil 22'!CM$123</f>
        <v>0</v>
      </c>
      <c r="CN82" s="43">
        <f>'$$xSchpostCouncil 22'!CN82/'$$xSchpostCouncil 22'!CN$123</f>
        <v>0</v>
      </c>
      <c r="CO82" s="43">
        <f>'$$xSchpostCouncil 22'!CO82/'$$xSchpostCouncil 22'!CO$123</f>
        <v>3</v>
      </c>
      <c r="CP82" s="43">
        <f>'$$xSchpostCouncil 22'!CP82/'$$xSchpostCouncil 22'!CP$123</f>
        <v>2</v>
      </c>
      <c r="CQ82" s="43">
        <f>'$$xSchpostCouncil 22'!CQ82/'$$xSchpostCouncil 22'!CQ$123</f>
        <v>11</v>
      </c>
      <c r="CR82" s="43">
        <f>'$$xSchpostCouncil 22'!CR82/'$$xSchpostCouncil 22'!CR$123</f>
        <v>0</v>
      </c>
      <c r="CS82" s="6"/>
      <c r="CT82" s="6"/>
      <c r="CU82" s="6"/>
      <c r="CV82" s="43">
        <f>'$$xSchpostCouncil 22'!CV82/'$$xSchpostCouncil 22'!CV$123</f>
        <v>0</v>
      </c>
      <c r="CW82" s="43">
        <f>'$$xSchpostCouncil 22'!CW82/'$$xSchpostCouncil 22'!CW$123</f>
        <v>0</v>
      </c>
      <c r="CX82" s="6">
        <v>0</v>
      </c>
      <c r="CY82" s="6"/>
      <c r="CZ82" s="6"/>
      <c r="DB82" s="43">
        <f>'$$xSchpostCouncil 22'!DB82/'$$xSchpostCouncil 22'!DB$123</f>
        <v>0</v>
      </c>
      <c r="DC82" s="43">
        <f>'$$xSchpostCouncil 22'!DC82/'$$xSchpostCouncil 22'!DC$123</f>
        <v>0</v>
      </c>
      <c r="DF82" s="43">
        <f>'$$xSchpostCouncil 22'!DF82/'$$xSchpostCouncil 22'!DF$123</f>
        <v>0</v>
      </c>
      <c r="DG82" s="43">
        <f>'$$xSchpostCouncil 22'!DG82/'$$xSchpostCouncil 22'!DG$123</f>
        <v>0</v>
      </c>
      <c r="DH82" s="43">
        <f>'$$xSchpostCouncil 22'!DH82/'$$xSchpostCouncil 22'!DH$123</f>
        <v>0</v>
      </c>
      <c r="DI82" s="43">
        <f>'$$xSchpostCouncil 22'!DI82/'$$xSchpostCouncil 22'!DI$123</f>
        <v>0</v>
      </c>
      <c r="DJ82" s="43">
        <f>'$$xSchpostCouncil 22'!DJ82/'$$xSchpostCouncil 22'!DJ$123</f>
        <v>0</v>
      </c>
      <c r="DK82" s="43">
        <f>'$$xSchpostCouncil 22'!DK82/'$$xSchpostCouncil 22'!DK$123</f>
        <v>0</v>
      </c>
      <c r="DL82" s="6">
        <v>3100</v>
      </c>
      <c r="DM82" s="6"/>
      <c r="DN82" s="43">
        <f>'$$xSchpostCouncil 22'!DN82/'$$xSchpostCouncil 22'!DN$123</f>
        <v>0</v>
      </c>
      <c r="DO82" s="6"/>
      <c r="DP82" s="6">
        <v>10575</v>
      </c>
      <c r="DU82" s="6">
        <f>VLOOKUP($A82,[3]Totals!$B$2:$K$119,10,FALSE)</f>
        <v>139567.95000000001</v>
      </c>
      <c r="DV82" s="6">
        <f>VLOOKUP($A82,[3]Totals!$B$2:$K$119,9,FALSE)</f>
        <v>225138</v>
      </c>
    </row>
    <row r="83" spans="1:126" x14ac:dyDescent="0.2">
      <c r="A83" s="3">
        <v>301</v>
      </c>
      <c r="B83" s="2" t="s">
        <v>46</v>
      </c>
      <c r="C83" t="s">
        <v>7</v>
      </c>
      <c r="D83">
        <v>6</v>
      </c>
      <c r="E83" s="1">
        <v>219</v>
      </c>
      <c r="F83" s="4">
        <v>8.6999999999999994E-2</v>
      </c>
      <c r="G83">
        <v>19</v>
      </c>
      <c r="H83" s="43">
        <f>'$$xSchpostCouncil 22'!H83/'$$xSchpostCouncil 22'!H$123</f>
        <v>0.5</v>
      </c>
      <c r="I83" s="43">
        <f>'$$xSchpostCouncil 22'!I83/'$$xSchpostCouncil 22'!I$123</f>
        <v>0</v>
      </c>
      <c r="J83" s="43">
        <f>'$$xSchpostCouncil 22'!J83/'$$xSchpostCouncil 22'!J$123</f>
        <v>0</v>
      </c>
      <c r="K83" s="43">
        <f>'$$xSchpostCouncil 22'!K83/'$$xSchpostCouncil 22'!K$123</f>
        <v>1</v>
      </c>
      <c r="L83" s="6">
        <v>4181</v>
      </c>
      <c r="M83" s="43">
        <f>'$$xSchpostCouncil 22'!M83/'$$xSchpostCouncil 22'!M$123</f>
        <v>1</v>
      </c>
      <c r="N83" s="43">
        <f>'$$xSchpostCouncil 22'!N83/'$$xSchpostCouncil 22'!N$123</f>
        <v>1</v>
      </c>
      <c r="O83" s="43">
        <f>'$$xSchpostCouncil 22'!O83/'$$xSchpostCouncil 22'!O$123</f>
        <v>1</v>
      </c>
      <c r="P83" s="43">
        <f>'$$xSchpostCouncil 22'!P83/'$$xSchpostCouncil 22'!P$123</f>
        <v>1.0000006218408266</v>
      </c>
      <c r="Q83" s="43">
        <f>'$$xSchpostCouncil 22'!Q83/'$$xSchpostCouncil 22'!Q$123</f>
        <v>4</v>
      </c>
      <c r="R83" s="43">
        <f>'$$xSchpostCouncil 22'!R83/'$$xSchpostCouncil 22'!R$123</f>
        <v>0</v>
      </c>
      <c r="S83" s="43">
        <f>'$$xSchpostCouncil 22'!S83/'$$xSchpostCouncil 22'!S$123</f>
        <v>4</v>
      </c>
      <c r="T83" s="43">
        <f>'$$xSchpostCouncil 22'!T83/'$$xSchpostCouncil 22'!T$123</f>
        <v>8</v>
      </c>
      <c r="U83" s="6"/>
      <c r="V83" s="6"/>
      <c r="W83" s="6"/>
      <c r="X83" s="6"/>
      <c r="Y83" s="43">
        <f>'$$xSchpostCouncil 22'!Y83/'$$xSchpostCouncil 22'!Y$123</f>
        <v>0</v>
      </c>
      <c r="Z83" s="43">
        <f>'$$xSchpostCouncil 22'!Z83/'$$xSchpostCouncil 22'!Z$123</f>
        <v>0</v>
      </c>
      <c r="AA83" s="43">
        <f>'$$xSchpostCouncil 22'!AA83/'$$xSchpostCouncil 22'!AA$123</f>
        <v>0</v>
      </c>
      <c r="AB83" s="43">
        <f>'$$xSchpostCouncil 22'!AB83/'$$xSchpostCouncil 22'!AB$123</f>
        <v>0</v>
      </c>
      <c r="AC83" s="6"/>
      <c r="AD83" s="6">
        <v>81041</v>
      </c>
      <c r="AE83" s="43">
        <f>'$$xSchpostCouncil 22'!AE83/'$$xSchpostCouncil 22'!AE$123</f>
        <v>1</v>
      </c>
      <c r="AF83" s="43">
        <f>'$$xSchpostCouncil 22'!AF83/'$$xSchpostCouncil 22'!AF$123</f>
        <v>1</v>
      </c>
      <c r="AG83" s="43">
        <f>'$$xSchpostCouncil 22'!AG83/'$$xSchpostCouncil 22'!AG$123</f>
        <v>1</v>
      </c>
      <c r="AH83" s="43">
        <f>'$$xSchpostCouncil 22'!AH83/'$$xSchpostCouncil 22'!AH$123</f>
        <v>0</v>
      </c>
      <c r="AI83" s="43">
        <f>'$$xSchpostCouncil 22'!AI83/'$$xSchpostCouncil 22'!AI$123</f>
        <v>0</v>
      </c>
      <c r="AJ83" s="43"/>
      <c r="AK83" s="43">
        <f>'$$xSchpostCouncil 22'!AK83/'$$xSchpostCouncil 22'!AK$123</f>
        <v>0</v>
      </c>
      <c r="AL83" s="43">
        <f>'$$xSchpostCouncil 22'!AL83/'$$xSchpostCouncil 22'!AL$123</f>
        <v>0</v>
      </c>
      <c r="AM83" s="6"/>
      <c r="AN83" s="6"/>
      <c r="AO83" s="43">
        <f>'$$xSchpostCouncil 22'!AO83/'$$xSchpostCouncil 22'!AO$123</f>
        <v>0</v>
      </c>
      <c r="AP83" s="43">
        <f>'$$xSchpostCouncil 22'!AP83/'$$xSchpostCouncil 22'!AP$123</f>
        <v>4.9996002451829544E-2</v>
      </c>
      <c r="AQ83" s="43">
        <f>'$$xSchpostCouncil 22'!AQ83/'$$xSchpostCouncil 22'!AQ$123</f>
        <v>0</v>
      </c>
      <c r="AR83" s="6"/>
      <c r="AS83" s="6"/>
      <c r="AT83" s="6"/>
      <c r="AU83" s="6"/>
      <c r="AV83" s="6"/>
      <c r="AW83" s="6">
        <v>0</v>
      </c>
      <c r="AX83" s="6"/>
      <c r="AY83" s="6"/>
      <c r="AZ83" s="6">
        <v>0</v>
      </c>
      <c r="BA83" s="6"/>
      <c r="BB83" s="6">
        <v>5475</v>
      </c>
      <c r="BC83" s="43">
        <f>'$$xSchpostCouncil 22'!BC83/'$$xSchpostCouncil 22'!BC$123</f>
        <v>0</v>
      </c>
      <c r="BD83" s="43">
        <f>'$$xSchpostCouncil 22'!BD83/'$$xSchpostCouncil 22'!BD$123</f>
        <v>0</v>
      </c>
      <c r="BE83" s="6"/>
      <c r="BF83" s="6"/>
      <c r="BG83" s="6"/>
      <c r="BH83" s="43">
        <f>'$$xSchpostCouncil 22'!BH83/'$$xSchpostCouncil 22'!BH$123</f>
        <v>0</v>
      </c>
      <c r="BI83" s="6"/>
      <c r="BJ83" s="43">
        <f>'$$xSchpostCouncil 22'!BJ83/'$$xSchpostCouncil 22'!BJ$123</f>
        <v>0</v>
      </c>
      <c r="BK83" s="6"/>
      <c r="BL83" s="43">
        <f>'$$xSchpostCouncil 22'!BL83/'$$xSchpostCouncil 22'!BL$123</f>
        <v>0</v>
      </c>
      <c r="BM83" s="6"/>
      <c r="BN83" s="43">
        <f>'$$xSchpostCouncil 22'!BN83/'$$xSchpostCouncil 22'!BN$123</f>
        <v>0</v>
      </c>
      <c r="BO83" s="43">
        <f>'$$xSchpostCouncil 22'!BO83/'$$xSchpostCouncil 22'!BO$123</f>
        <v>0</v>
      </c>
      <c r="BP83" s="6"/>
      <c r="BQ83" s="6"/>
      <c r="BR83" s="6"/>
      <c r="BS83" s="6"/>
      <c r="BT83" s="6"/>
      <c r="BU83" s="43">
        <f>'$$xSchpostCouncil 22'!BU83/'$$xSchpostCouncil 22'!BU$123</f>
        <v>0</v>
      </c>
      <c r="BV83" s="43">
        <f>'$$xSchpostCouncil 22'!BV83/'$$xSchpostCouncil 22'!BV$123</f>
        <v>0</v>
      </c>
      <c r="BW83" s="43">
        <f>'$$xSchpostCouncil 22'!BW83/'$$xSchpostCouncil 22'!BW$123</f>
        <v>0</v>
      </c>
      <c r="BX83" s="6">
        <v>48099</v>
      </c>
      <c r="BY83" s="6"/>
      <c r="BZ83" s="6"/>
      <c r="CA83" s="6"/>
      <c r="CB83" s="6"/>
      <c r="CC83" s="6"/>
      <c r="CD83" s="6"/>
      <c r="CE83" s="6"/>
      <c r="CF83" s="6">
        <v>-112569</v>
      </c>
      <c r="CI83" s="43">
        <f>'$$xSchpostCouncil 22'!CI83/'$$xSchpostCouncil 22'!CI$123</f>
        <v>1</v>
      </c>
      <c r="CJ83" s="43">
        <f>'$$xSchpostCouncil 22'!CJ83/'$$xSchpostCouncil 22'!CJ$123</f>
        <v>1</v>
      </c>
      <c r="CK83" s="43">
        <f>'$$xSchpostCouncil 22'!CK83/'$$xSchpostCouncil 22'!CK$123</f>
        <v>0.50000550182110282</v>
      </c>
      <c r="CL83" s="43">
        <f>'$$xSchpostCouncil 22'!CL83/'$$xSchpostCouncil 22'!CL$123</f>
        <v>0</v>
      </c>
      <c r="CM83" s="43">
        <f>'$$xSchpostCouncil 22'!CM83/'$$xSchpostCouncil 22'!CM$123</f>
        <v>0</v>
      </c>
      <c r="CN83" s="43">
        <f>'$$xSchpostCouncil 22'!CN83/'$$xSchpostCouncil 22'!CN$123</f>
        <v>0</v>
      </c>
      <c r="CO83" s="43">
        <f>'$$xSchpostCouncil 22'!CO83/'$$xSchpostCouncil 22'!CO$123</f>
        <v>3</v>
      </c>
      <c r="CP83" s="43">
        <f>'$$xSchpostCouncil 22'!CP83/'$$xSchpostCouncil 22'!CP$123</f>
        <v>4</v>
      </c>
      <c r="CQ83" s="43">
        <f>'$$xSchpostCouncil 22'!CQ83/'$$xSchpostCouncil 22'!CQ$123</f>
        <v>4</v>
      </c>
      <c r="CR83" s="43">
        <f>'$$xSchpostCouncil 22'!CR83/'$$xSchpostCouncil 22'!CR$123</f>
        <v>0</v>
      </c>
      <c r="CS83" s="6"/>
      <c r="CT83" s="6"/>
      <c r="CU83" s="6"/>
      <c r="CV83" s="43">
        <f>'$$xSchpostCouncil 22'!CV83/'$$xSchpostCouncil 22'!CV$123</f>
        <v>0</v>
      </c>
      <c r="CW83" s="43">
        <f>'$$xSchpostCouncil 22'!CW83/'$$xSchpostCouncil 22'!CW$123</f>
        <v>0</v>
      </c>
      <c r="CX83" s="6">
        <v>0</v>
      </c>
      <c r="CY83" s="6"/>
      <c r="CZ83" s="6"/>
      <c r="DB83" s="43">
        <f>'$$xSchpostCouncil 22'!DB83/'$$xSchpostCouncil 22'!DB$123</f>
        <v>0</v>
      </c>
      <c r="DC83" s="43">
        <f>'$$xSchpostCouncil 22'!DC83/'$$xSchpostCouncil 22'!DC$123</f>
        <v>0</v>
      </c>
      <c r="DF83" s="43">
        <f>'$$xSchpostCouncil 22'!DF83/'$$xSchpostCouncil 22'!DF$123</f>
        <v>0</v>
      </c>
      <c r="DG83" s="43">
        <f>'$$xSchpostCouncil 22'!DG83/'$$xSchpostCouncil 22'!DG$123</f>
        <v>0</v>
      </c>
      <c r="DH83" s="43">
        <f>'$$xSchpostCouncil 22'!DH83/'$$xSchpostCouncil 22'!DH$123</f>
        <v>0</v>
      </c>
      <c r="DI83" s="43">
        <f>'$$xSchpostCouncil 22'!DI83/'$$xSchpostCouncil 22'!DI$123</f>
        <v>0</v>
      </c>
      <c r="DJ83" s="43">
        <f>'$$xSchpostCouncil 22'!DJ83/'$$xSchpostCouncil 22'!DJ$123</f>
        <v>0</v>
      </c>
      <c r="DK83" s="43">
        <f>'$$xSchpostCouncil 22'!DK83/'$$xSchpostCouncil 22'!DK$123</f>
        <v>0</v>
      </c>
      <c r="DL83" s="6"/>
      <c r="DM83" s="6"/>
      <c r="DN83" s="43">
        <f>'$$xSchpostCouncil 22'!DN83/'$$xSchpostCouncil 22'!DN$123</f>
        <v>0</v>
      </c>
      <c r="DO83" s="6"/>
      <c r="DP83" s="6">
        <v>2544</v>
      </c>
      <c r="DU83" s="6">
        <f>VLOOKUP($A83,[3]Totals!$B$2:$K$119,10,FALSE)</f>
        <v>46680</v>
      </c>
      <c r="DV83" s="6">
        <f>VLOOKUP($A83,[3]Totals!$B$2:$K$119,9,FALSE)</f>
        <v>0</v>
      </c>
    </row>
    <row r="84" spans="1:126" x14ac:dyDescent="0.2">
      <c r="A84" s="3">
        <v>478</v>
      </c>
      <c r="B84" s="2" t="s">
        <v>45</v>
      </c>
      <c r="C84" t="s">
        <v>1</v>
      </c>
      <c r="D84">
        <v>5</v>
      </c>
      <c r="E84" s="1">
        <v>306</v>
      </c>
      <c r="F84" s="4">
        <v>0.64400000000000002</v>
      </c>
      <c r="G84">
        <v>197</v>
      </c>
      <c r="H84" s="43">
        <f>'$$xSchpostCouncil 22'!H84/'$$xSchpostCouncil 22'!H$123</f>
        <v>1</v>
      </c>
      <c r="I84" s="43">
        <f>'$$xSchpostCouncil 22'!I84/'$$xSchpostCouncil 22'!I$123</f>
        <v>0</v>
      </c>
      <c r="J84" s="43">
        <f>'$$xSchpostCouncil 22'!J84/'$$xSchpostCouncil 22'!J$123</f>
        <v>1.5</v>
      </c>
      <c r="K84" s="43">
        <f>'$$xSchpostCouncil 22'!K84/'$$xSchpostCouncil 22'!K$123</f>
        <v>1</v>
      </c>
      <c r="L84" s="6">
        <v>8217</v>
      </c>
      <c r="M84" s="43">
        <f>'$$xSchpostCouncil 22'!M84/'$$xSchpostCouncil 22'!M$123</f>
        <v>1</v>
      </c>
      <c r="N84" s="43">
        <f>'$$xSchpostCouncil 22'!N84/'$$xSchpostCouncil 22'!N$123</f>
        <v>1</v>
      </c>
      <c r="O84" s="43">
        <f>'$$xSchpostCouncil 22'!O84/'$$xSchpostCouncil 22'!O$123</f>
        <v>3</v>
      </c>
      <c r="P84" s="43">
        <f>'$$xSchpostCouncil 22'!P84/'$$xSchpostCouncil 22'!P$123</f>
        <v>1</v>
      </c>
      <c r="Q84" s="43">
        <f>'$$xSchpostCouncil 22'!Q84/'$$xSchpostCouncil 22'!Q$123</f>
        <v>0</v>
      </c>
      <c r="R84" s="43">
        <f>'$$xSchpostCouncil 22'!R84/'$$xSchpostCouncil 22'!R$123</f>
        <v>0</v>
      </c>
      <c r="S84" s="43">
        <f>'$$xSchpostCouncil 22'!S84/'$$xSchpostCouncil 22'!S$123</f>
        <v>0</v>
      </c>
      <c r="T84" s="43">
        <f>'$$xSchpostCouncil 22'!T84/'$$xSchpostCouncil 22'!T$123</f>
        <v>0</v>
      </c>
      <c r="U84" s="6"/>
      <c r="V84" s="6"/>
      <c r="W84" s="6"/>
      <c r="X84" s="6"/>
      <c r="Y84" s="43">
        <f>'$$xSchpostCouncil 22'!Y84/'$$xSchpostCouncil 22'!Y$123</f>
        <v>0</v>
      </c>
      <c r="Z84" s="43">
        <f>'$$xSchpostCouncil 22'!Z84/'$$xSchpostCouncil 22'!Z$123</f>
        <v>0</v>
      </c>
      <c r="AA84" s="43">
        <f>'$$xSchpostCouncil 22'!AA84/'$$xSchpostCouncil 22'!AA$123</f>
        <v>1</v>
      </c>
      <c r="AB84" s="43">
        <f>'$$xSchpostCouncil 22'!AB84/'$$xSchpostCouncil 22'!AB$123</f>
        <v>1</v>
      </c>
      <c r="AC84" s="6"/>
      <c r="AD84" s="6">
        <v>132986</v>
      </c>
      <c r="AE84" s="43">
        <f>'$$xSchpostCouncil 22'!AE84/'$$xSchpostCouncil 22'!AE$123</f>
        <v>1</v>
      </c>
      <c r="AF84" s="43">
        <f>'$$xSchpostCouncil 22'!AF84/'$$xSchpostCouncil 22'!AF$123</f>
        <v>1</v>
      </c>
      <c r="AG84" s="43">
        <f>'$$xSchpostCouncil 22'!AG84/'$$xSchpostCouncil 22'!AG$123</f>
        <v>5</v>
      </c>
      <c r="AH84" s="43">
        <f>'$$xSchpostCouncil 22'!AH84/'$$xSchpostCouncil 22'!AH$123</f>
        <v>0</v>
      </c>
      <c r="AI84" s="43">
        <f>'$$xSchpostCouncil 22'!AI84/'$$xSchpostCouncil 22'!AI$123</f>
        <v>0</v>
      </c>
      <c r="AJ84" s="43"/>
      <c r="AK84" s="43">
        <f>'$$xSchpostCouncil 22'!AK84/'$$xSchpostCouncil 22'!AK$123</f>
        <v>0</v>
      </c>
      <c r="AL84" s="43">
        <f>'$$xSchpostCouncil 22'!AL84/'$$xSchpostCouncil 22'!AL$123</f>
        <v>0</v>
      </c>
      <c r="AM84" s="6"/>
      <c r="AN84" s="6"/>
      <c r="AO84" s="43">
        <f>'$$xSchpostCouncil 22'!AO84/'$$xSchpostCouncil 22'!AO$123</f>
        <v>0</v>
      </c>
      <c r="AP84" s="43">
        <f>'$$xSchpostCouncil 22'!AP84/'$$xSchpostCouncil 22'!AP$123</f>
        <v>0</v>
      </c>
      <c r="AQ84" s="43">
        <f>'$$xSchpostCouncil 22'!AQ84/'$$xSchpostCouncil 22'!AQ$123</f>
        <v>0</v>
      </c>
      <c r="AR84" s="6"/>
      <c r="AS84" s="6"/>
      <c r="AT84" s="6"/>
      <c r="AU84" s="6"/>
      <c r="AV84" s="6">
        <v>40000</v>
      </c>
      <c r="AW84" s="6">
        <v>0</v>
      </c>
      <c r="AX84" s="6"/>
      <c r="AY84" s="6"/>
      <c r="AZ84" s="6">
        <v>138750.88999999998</v>
      </c>
      <c r="BA84" s="6"/>
      <c r="BB84" s="6"/>
      <c r="BC84" s="43">
        <f>'$$xSchpostCouncil 22'!BC84/'$$xSchpostCouncil 22'!BC$123</f>
        <v>0</v>
      </c>
      <c r="BD84" s="43">
        <f>'$$xSchpostCouncil 22'!BD84/'$$xSchpostCouncil 22'!BD$123</f>
        <v>0</v>
      </c>
      <c r="BE84" s="6"/>
      <c r="BF84" s="6"/>
      <c r="BG84" s="6"/>
      <c r="BH84" s="43">
        <f>'$$xSchpostCouncil 22'!BH84/'$$xSchpostCouncil 22'!BH$123</f>
        <v>0</v>
      </c>
      <c r="BI84" s="6"/>
      <c r="BJ84" s="43">
        <f>'$$xSchpostCouncil 22'!BJ84/'$$xSchpostCouncil 22'!BJ$123</f>
        <v>0</v>
      </c>
      <c r="BK84" s="6"/>
      <c r="BL84" s="43">
        <f>'$$xSchpostCouncil 22'!BL84/'$$xSchpostCouncil 22'!BL$123</f>
        <v>0</v>
      </c>
      <c r="BM84" s="6"/>
      <c r="BN84" s="43">
        <f>'$$xSchpostCouncil 22'!BN84/'$$xSchpostCouncil 22'!BN$123</f>
        <v>0</v>
      </c>
      <c r="BO84" s="43">
        <f>'$$xSchpostCouncil 22'!BO84/'$$xSchpostCouncil 22'!BO$123</f>
        <v>0</v>
      </c>
      <c r="BP84" s="6"/>
      <c r="BQ84" s="6"/>
      <c r="BR84" s="6"/>
      <c r="BS84" s="6"/>
      <c r="BT84" s="6"/>
      <c r="BU84" s="43">
        <f>'$$xSchpostCouncil 22'!BU84/'$$xSchpostCouncil 22'!BU$123</f>
        <v>2.6315789473684209E-2</v>
      </c>
      <c r="BV84" s="43">
        <f>'$$xSchpostCouncil 22'!BV84/'$$xSchpostCouncil 22'!BV$123</f>
        <v>1</v>
      </c>
      <c r="BW84" s="43">
        <f>'$$xSchpostCouncil 22'!BW84/'$$xSchpostCouncil 22'!BW$123</f>
        <v>0</v>
      </c>
      <c r="BX84" s="6">
        <v>552923</v>
      </c>
      <c r="BY84" s="6"/>
      <c r="BZ84" s="6"/>
      <c r="CA84" s="6"/>
      <c r="CB84" s="6"/>
      <c r="CC84" s="6">
        <v>50583</v>
      </c>
      <c r="CD84" s="6"/>
      <c r="CE84" s="6">
        <v>85000</v>
      </c>
      <c r="CF84" s="6">
        <v>225140</v>
      </c>
      <c r="CI84" s="43">
        <f>'$$xSchpostCouncil 22'!CI84/'$$xSchpostCouncil 22'!CI$123</f>
        <v>1</v>
      </c>
      <c r="CJ84" s="43">
        <f>'$$xSchpostCouncil 22'!CJ84/'$$xSchpostCouncil 22'!CJ$123</f>
        <v>1</v>
      </c>
      <c r="CK84" s="43">
        <f>'$$xSchpostCouncil 22'!CK84/'$$xSchpostCouncil 22'!CK$123</f>
        <v>1</v>
      </c>
      <c r="CL84" s="43">
        <f>'$$xSchpostCouncil 22'!CL84/'$$xSchpostCouncil 22'!CL$123</f>
        <v>0</v>
      </c>
      <c r="CM84" s="43">
        <f>'$$xSchpostCouncil 22'!CM84/'$$xSchpostCouncil 22'!CM$123</f>
        <v>1</v>
      </c>
      <c r="CN84" s="43">
        <f>'$$xSchpostCouncil 22'!CN84/'$$xSchpostCouncil 22'!CN$123</f>
        <v>1</v>
      </c>
      <c r="CO84" s="43">
        <f>'$$xSchpostCouncil 22'!CO84/'$$xSchpostCouncil 22'!CO$123</f>
        <v>0</v>
      </c>
      <c r="CP84" s="43">
        <f>'$$xSchpostCouncil 22'!CP84/'$$xSchpostCouncil 22'!CP$123</f>
        <v>0</v>
      </c>
      <c r="CQ84" s="43">
        <f>'$$xSchpostCouncil 22'!CQ84/'$$xSchpostCouncil 22'!CQ$123</f>
        <v>12.749999111655963</v>
      </c>
      <c r="CR84" s="43">
        <f>'$$xSchpostCouncil 22'!CR84/'$$xSchpostCouncil 22'!CR$123</f>
        <v>0</v>
      </c>
      <c r="CS84" s="6"/>
      <c r="CT84" s="6"/>
      <c r="CU84" s="6"/>
      <c r="CV84" s="43">
        <f>'$$xSchpostCouncil 22'!CV84/'$$xSchpostCouncil 22'!CV$123</f>
        <v>1</v>
      </c>
      <c r="CW84" s="43">
        <f>'$$xSchpostCouncil 22'!CW84/'$$xSchpostCouncil 22'!CW$123</f>
        <v>0</v>
      </c>
      <c r="CX84" s="6">
        <v>24897</v>
      </c>
      <c r="CY84" s="6"/>
      <c r="CZ84" s="6"/>
      <c r="DB84" s="43">
        <f>'$$xSchpostCouncil 22'!DB84/'$$xSchpostCouncil 22'!DB$123</f>
        <v>0</v>
      </c>
      <c r="DC84" s="43">
        <f>'$$xSchpostCouncil 22'!DC84/'$$xSchpostCouncil 22'!DC$123</f>
        <v>0</v>
      </c>
      <c r="DF84" s="43">
        <f>'$$xSchpostCouncil 22'!DF84/'$$xSchpostCouncil 22'!DF$123</f>
        <v>0</v>
      </c>
      <c r="DG84" s="43">
        <f>'$$xSchpostCouncil 22'!DG84/'$$xSchpostCouncil 22'!DG$123</f>
        <v>0</v>
      </c>
      <c r="DH84" s="43">
        <f>'$$xSchpostCouncil 22'!DH84/'$$xSchpostCouncil 22'!DH$123</f>
        <v>4.1499999999999986</v>
      </c>
      <c r="DI84" s="43">
        <f>'$$xSchpostCouncil 22'!DI84/'$$xSchpostCouncil 22'!DI$123</f>
        <v>0</v>
      </c>
      <c r="DJ84" s="43">
        <f>'$$xSchpostCouncil 22'!DJ84/'$$xSchpostCouncil 22'!DJ$123</f>
        <v>0</v>
      </c>
      <c r="DK84" s="43">
        <f>'$$xSchpostCouncil 22'!DK84/'$$xSchpostCouncil 22'!DK$123</f>
        <v>0</v>
      </c>
      <c r="DL84" s="6">
        <v>3948</v>
      </c>
      <c r="DM84" s="6"/>
      <c r="DN84" s="43">
        <f>'$$xSchpostCouncil 22'!DN84/'$$xSchpostCouncil 22'!DN$123</f>
        <v>0</v>
      </c>
      <c r="DO84" s="6"/>
      <c r="DP84" s="6">
        <v>6075</v>
      </c>
      <c r="DU84" s="6">
        <f>VLOOKUP($A84,[3]Totals!$B$2:$K$119,10,FALSE)</f>
        <v>109571.56</v>
      </c>
      <c r="DV84" s="6">
        <f>VLOOKUP($A84,[3]Totals!$B$2:$K$119,9,FALSE)</f>
        <v>81770.5</v>
      </c>
    </row>
    <row r="85" spans="1:126" x14ac:dyDescent="0.2">
      <c r="A85" s="3">
        <v>299</v>
      </c>
      <c r="B85" s="2" t="s">
        <v>44</v>
      </c>
      <c r="C85" t="s">
        <v>7</v>
      </c>
      <c r="D85">
        <v>7</v>
      </c>
      <c r="E85" s="1">
        <v>239</v>
      </c>
      <c r="F85" s="4">
        <v>0.84099999999999997</v>
      </c>
      <c r="G85">
        <v>201</v>
      </c>
      <c r="H85" s="43">
        <f>'$$xSchpostCouncil 22'!H85/'$$xSchpostCouncil 22'!H$123</f>
        <v>1</v>
      </c>
      <c r="I85" s="43">
        <f>'$$xSchpostCouncil 22'!I85/'$$xSchpostCouncil 22'!I$123</f>
        <v>0</v>
      </c>
      <c r="J85" s="43">
        <f>'$$xSchpostCouncil 22'!J85/'$$xSchpostCouncil 22'!J$123</f>
        <v>0</v>
      </c>
      <c r="K85" s="43">
        <f>'$$xSchpostCouncil 22'!K85/'$$xSchpostCouncil 22'!K$123</f>
        <v>1</v>
      </c>
      <c r="L85" s="6">
        <v>4307</v>
      </c>
      <c r="M85" s="43">
        <f>'$$xSchpostCouncil 22'!M85/'$$xSchpostCouncil 22'!M$123</f>
        <v>1</v>
      </c>
      <c r="N85" s="43">
        <f>'$$xSchpostCouncil 22'!N85/'$$xSchpostCouncil 22'!N$123</f>
        <v>1</v>
      </c>
      <c r="O85" s="43">
        <f>'$$xSchpostCouncil 22'!O85/'$$xSchpostCouncil 22'!O$123</f>
        <v>1</v>
      </c>
      <c r="P85" s="43">
        <f>'$$xSchpostCouncil 22'!P85/'$$xSchpostCouncil 22'!P$123</f>
        <v>1.0000006218408266</v>
      </c>
      <c r="Q85" s="43">
        <f>'$$xSchpostCouncil 22'!Q85/'$$xSchpostCouncil 22'!Q$123</f>
        <v>0</v>
      </c>
      <c r="R85" s="43">
        <f>'$$xSchpostCouncil 22'!R85/'$$xSchpostCouncil 22'!R$123</f>
        <v>4</v>
      </c>
      <c r="S85" s="43">
        <f>'$$xSchpostCouncil 22'!S85/'$$xSchpostCouncil 22'!S$123</f>
        <v>0</v>
      </c>
      <c r="T85" s="43">
        <f>'$$xSchpostCouncil 22'!T85/'$$xSchpostCouncil 22'!T$123</f>
        <v>4</v>
      </c>
      <c r="U85" s="6"/>
      <c r="V85" s="6"/>
      <c r="W85" s="6"/>
      <c r="X85" s="6"/>
      <c r="Y85" s="43">
        <f>'$$xSchpostCouncil 22'!Y85/'$$xSchpostCouncil 22'!Y$123</f>
        <v>0</v>
      </c>
      <c r="Z85" s="43">
        <f>'$$xSchpostCouncil 22'!Z85/'$$xSchpostCouncil 22'!Z$123</f>
        <v>0</v>
      </c>
      <c r="AA85" s="43">
        <f>'$$xSchpostCouncil 22'!AA85/'$$xSchpostCouncil 22'!AA$123</f>
        <v>0</v>
      </c>
      <c r="AB85" s="43">
        <f>'$$xSchpostCouncil 22'!AB85/'$$xSchpostCouncil 22'!AB$123</f>
        <v>0</v>
      </c>
      <c r="AC85" s="6"/>
      <c r="AD85" s="6">
        <v>98912</v>
      </c>
      <c r="AE85" s="43">
        <f>'$$xSchpostCouncil 22'!AE85/'$$xSchpostCouncil 22'!AE$123</f>
        <v>1</v>
      </c>
      <c r="AF85" s="43">
        <f>'$$xSchpostCouncil 22'!AF85/'$$xSchpostCouncil 22'!AF$123</f>
        <v>1</v>
      </c>
      <c r="AG85" s="43">
        <f>'$$xSchpostCouncil 22'!AG85/'$$xSchpostCouncil 22'!AG$123</f>
        <v>6</v>
      </c>
      <c r="AH85" s="43">
        <f>'$$xSchpostCouncil 22'!AH85/'$$xSchpostCouncil 22'!AH$123</f>
        <v>0</v>
      </c>
      <c r="AI85" s="43">
        <f>'$$xSchpostCouncil 22'!AI85/'$$xSchpostCouncil 22'!AI$123</f>
        <v>6</v>
      </c>
      <c r="AJ85" s="43"/>
      <c r="AK85" s="43">
        <f>'$$xSchpostCouncil 22'!AK85/'$$xSchpostCouncil 22'!AK$123</f>
        <v>0</v>
      </c>
      <c r="AL85" s="43">
        <f>'$$xSchpostCouncil 22'!AL85/'$$xSchpostCouncil 22'!AL$123</f>
        <v>0</v>
      </c>
      <c r="AM85" s="6"/>
      <c r="AN85" s="6"/>
      <c r="AO85" s="43">
        <f>'$$xSchpostCouncil 22'!AO85/'$$xSchpostCouncil 22'!AO$123</f>
        <v>1</v>
      </c>
      <c r="AP85" s="43">
        <f>'$$xSchpostCouncil 22'!AP85/'$$xSchpostCouncil 22'!AP$123</f>
        <v>0</v>
      </c>
      <c r="AQ85" s="43">
        <f>'$$xSchpostCouncil 22'!AQ85/'$$xSchpostCouncil 22'!AQ$123</f>
        <v>0</v>
      </c>
      <c r="AR85" s="6"/>
      <c r="AS85" s="6">
        <f>47600-27200</f>
        <v>20400</v>
      </c>
      <c r="AT85" s="6">
        <f>47600-37300</f>
        <v>10300</v>
      </c>
      <c r="AU85" s="6">
        <v>10200</v>
      </c>
      <c r="AV85" s="6"/>
      <c r="AW85" s="6">
        <v>64600</v>
      </c>
      <c r="AX85" s="6"/>
      <c r="AY85" s="6"/>
      <c r="AZ85" s="6">
        <v>108370.65000000001</v>
      </c>
      <c r="BA85" s="6"/>
      <c r="BB85" s="6"/>
      <c r="BC85" s="43">
        <f>'$$xSchpostCouncil 22'!BC85/'$$xSchpostCouncil 22'!BC$123</f>
        <v>0</v>
      </c>
      <c r="BD85" s="43">
        <f>'$$xSchpostCouncil 22'!BD85/'$$xSchpostCouncil 22'!BD$123</f>
        <v>0</v>
      </c>
      <c r="BE85" s="6"/>
      <c r="BF85" s="6"/>
      <c r="BG85" s="6"/>
      <c r="BH85" s="43">
        <f>'$$xSchpostCouncil 22'!BH85/'$$xSchpostCouncil 22'!BH$123</f>
        <v>0</v>
      </c>
      <c r="BI85" s="6"/>
      <c r="BJ85" s="43">
        <f>'$$xSchpostCouncil 22'!BJ85/'$$xSchpostCouncil 22'!BJ$123</f>
        <v>0</v>
      </c>
      <c r="BK85" s="6"/>
      <c r="BL85" s="43">
        <f>'$$xSchpostCouncil 22'!BL85/'$$xSchpostCouncil 22'!BL$123</f>
        <v>0</v>
      </c>
      <c r="BM85" s="6"/>
      <c r="BN85" s="43">
        <f>'$$xSchpostCouncil 22'!BN85/'$$xSchpostCouncil 22'!BN$123</f>
        <v>0</v>
      </c>
      <c r="BO85" s="43">
        <f>'$$xSchpostCouncil 22'!BO85/'$$xSchpostCouncil 22'!BO$123</f>
        <v>0</v>
      </c>
      <c r="BP85" s="6"/>
      <c r="BQ85" s="6"/>
      <c r="BR85" s="6"/>
      <c r="BS85" s="6"/>
      <c r="BT85" s="6"/>
      <c r="BU85" s="43">
        <f>'$$xSchpostCouncil 22'!BU85/'$$xSchpostCouncil 22'!BU$123</f>
        <v>0</v>
      </c>
      <c r="BV85" s="43">
        <f>'$$xSchpostCouncil 22'!BV85/'$$xSchpostCouncil 22'!BV$123</f>
        <v>0</v>
      </c>
      <c r="BW85" s="43">
        <f>'$$xSchpostCouncil 22'!BW85/'$$xSchpostCouncil 22'!BW$123</f>
        <v>0</v>
      </c>
      <c r="BX85" s="6">
        <v>508835.5</v>
      </c>
      <c r="BY85" s="6"/>
      <c r="BZ85" s="6"/>
      <c r="CA85" s="6"/>
      <c r="CB85" s="6"/>
      <c r="CC85" s="6">
        <v>283142</v>
      </c>
      <c r="CD85" s="6"/>
      <c r="CE85" s="6">
        <v>112569</v>
      </c>
      <c r="CF85" s="6">
        <v>168854</v>
      </c>
      <c r="CI85" s="43">
        <f>'$$xSchpostCouncil 22'!CI85/'$$xSchpostCouncil 22'!CI$123</f>
        <v>1</v>
      </c>
      <c r="CJ85" s="43">
        <f>'$$xSchpostCouncil 22'!CJ85/'$$xSchpostCouncil 22'!CJ$123</f>
        <v>0</v>
      </c>
      <c r="CK85" s="43">
        <f>'$$xSchpostCouncil 22'!CK85/'$$xSchpostCouncil 22'!CK$123</f>
        <v>0.50000550182110282</v>
      </c>
      <c r="CL85" s="43">
        <f>'$$xSchpostCouncil 22'!CL85/'$$xSchpostCouncil 22'!CL$123</f>
        <v>0</v>
      </c>
      <c r="CM85" s="43">
        <f>'$$xSchpostCouncil 22'!CM85/'$$xSchpostCouncil 22'!CM$123</f>
        <v>0</v>
      </c>
      <c r="CN85" s="43">
        <f>'$$xSchpostCouncil 22'!CN85/'$$xSchpostCouncil 22'!CN$123</f>
        <v>0</v>
      </c>
      <c r="CO85" s="43">
        <f>'$$xSchpostCouncil 22'!CO85/'$$xSchpostCouncil 22'!CO$123</f>
        <v>3</v>
      </c>
      <c r="CP85" s="43">
        <f>'$$xSchpostCouncil 22'!CP85/'$$xSchpostCouncil 22'!CP$123</f>
        <v>2</v>
      </c>
      <c r="CQ85" s="43">
        <f>'$$xSchpostCouncil 22'!CQ85/'$$xSchpostCouncil 22'!CQ$123</f>
        <v>9</v>
      </c>
      <c r="CR85" s="43">
        <f>'$$xSchpostCouncil 22'!CR85/'$$xSchpostCouncil 22'!CR$123</f>
        <v>0</v>
      </c>
      <c r="CS85" s="6"/>
      <c r="CT85" s="6"/>
      <c r="CU85" s="6"/>
      <c r="CV85" s="43">
        <f>'$$xSchpostCouncil 22'!CV85/'$$xSchpostCouncil 22'!CV$123</f>
        <v>0</v>
      </c>
      <c r="CW85" s="43">
        <f>'$$xSchpostCouncil 22'!CW85/'$$xSchpostCouncil 22'!CW$123</f>
        <v>0</v>
      </c>
      <c r="CX85" s="6">
        <v>0</v>
      </c>
      <c r="CY85" s="6"/>
      <c r="CZ85" s="6"/>
      <c r="DB85" s="43">
        <f>'$$xSchpostCouncil 22'!DB85/'$$xSchpostCouncil 22'!DB$123</f>
        <v>0</v>
      </c>
      <c r="DC85" s="43">
        <f>'$$xSchpostCouncil 22'!DC85/'$$xSchpostCouncil 22'!DC$123</f>
        <v>0</v>
      </c>
      <c r="DF85" s="43">
        <f>'$$xSchpostCouncil 22'!DF85/'$$xSchpostCouncil 22'!DF$123</f>
        <v>0</v>
      </c>
      <c r="DG85" s="43">
        <f>'$$xSchpostCouncil 22'!DG85/'$$xSchpostCouncil 22'!DG$123</f>
        <v>1</v>
      </c>
      <c r="DH85" s="43">
        <f>'$$xSchpostCouncil 22'!DH85/'$$xSchpostCouncil 22'!DH$123</f>
        <v>0</v>
      </c>
      <c r="DI85" s="43">
        <f>'$$xSchpostCouncil 22'!DI85/'$$xSchpostCouncil 22'!DI$123</f>
        <v>0</v>
      </c>
      <c r="DJ85" s="43">
        <f>'$$xSchpostCouncil 22'!DJ85/'$$xSchpostCouncil 22'!DJ$123</f>
        <v>0</v>
      </c>
      <c r="DK85" s="43">
        <f>'$$xSchpostCouncil 22'!DK85/'$$xSchpostCouncil 22'!DK$123</f>
        <v>0</v>
      </c>
      <c r="DL85" s="6">
        <v>8076</v>
      </c>
      <c r="DM85" s="6"/>
      <c r="DN85" s="43">
        <f>'$$xSchpostCouncil 22'!DN85/'$$xSchpostCouncil 22'!DN$123</f>
        <v>0</v>
      </c>
      <c r="DO85" s="6"/>
      <c r="DP85" s="6">
        <v>25025</v>
      </c>
      <c r="DU85" s="6">
        <f>VLOOKUP($A85,[3]Totals!$B$2:$K$119,10,FALSE)</f>
        <v>169471.47</v>
      </c>
      <c r="DV85" s="6">
        <f>VLOOKUP($A85,[3]Totals!$B$2:$K$119,9,FALSE)</f>
        <v>189240</v>
      </c>
    </row>
    <row r="86" spans="1:126" x14ac:dyDescent="0.2">
      <c r="A86" s="3">
        <v>300</v>
      </c>
      <c r="B86" s="2" t="s">
        <v>43</v>
      </c>
      <c r="C86" t="s">
        <v>7</v>
      </c>
      <c r="D86">
        <v>4</v>
      </c>
      <c r="E86" s="1">
        <v>514</v>
      </c>
      <c r="F86" s="4">
        <v>0.39300000000000002</v>
      </c>
      <c r="G86">
        <v>202</v>
      </c>
      <c r="H86" s="43">
        <f>'$$xSchpostCouncil 22'!H86/'$$xSchpostCouncil 22'!H$123</f>
        <v>1</v>
      </c>
      <c r="I86" s="43">
        <f>'$$xSchpostCouncil 22'!I86/'$$xSchpostCouncil 22'!I$123</f>
        <v>0</v>
      </c>
      <c r="J86" s="43">
        <f>'$$xSchpostCouncil 22'!J86/'$$xSchpostCouncil 22'!J$123</f>
        <v>0</v>
      </c>
      <c r="K86" s="43">
        <f>'$$xSchpostCouncil 22'!K86/'$$xSchpostCouncil 22'!K$123</f>
        <v>1</v>
      </c>
      <c r="L86" s="6">
        <v>4517</v>
      </c>
      <c r="M86" s="43">
        <f>'$$xSchpostCouncil 22'!M86/'$$xSchpostCouncil 22'!M$123</f>
        <v>1</v>
      </c>
      <c r="N86" s="43">
        <f>'$$xSchpostCouncil 22'!N86/'$$xSchpostCouncil 22'!N$123</f>
        <v>1</v>
      </c>
      <c r="O86" s="43">
        <f>'$$xSchpostCouncil 22'!O86/'$$xSchpostCouncil 22'!O$123</f>
        <v>3</v>
      </c>
      <c r="P86" s="43">
        <f>'$$xSchpostCouncil 22'!P86/'$$xSchpostCouncil 22'!P$123</f>
        <v>1</v>
      </c>
      <c r="Q86" s="43">
        <f>'$$xSchpostCouncil 22'!Q86/'$$xSchpostCouncil 22'!Q$123</f>
        <v>0</v>
      </c>
      <c r="R86" s="43">
        <f>'$$xSchpostCouncil 22'!R86/'$$xSchpostCouncil 22'!R$123</f>
        <v>5</v>
      </c>
      <c r="S86" s="43">
        <f>'$$xSchpostCouncil 22'!S86/'$$xSchpostCouncil 22'!S$123</f>
        <v>0</v>
      </c>
      <c r="T86" s="43">
        <f>'$$xSchpostCouncil 22'!T86/'$$xSchpostCouncil 22'!T$123</f>
        <v>5</v>
      </c>
      <c r="U86" s="6"/>
      <c r="V86" s="6"/>
      <c r="W86" s="6"/>
      <c r="X86" s="6"/>
      <c r="Y86" s="43">
        <f>'$$xSchpostCouncil 22'!Y86/'$$xSchpostCouncil 22'!Y$123</f>
        <v>0</v>
      </c>
      <c r="Z86" s="43">
        <f>'$$xSchpostCouncil 22'!Z86/'$$xSchpostCouncil 22'!Z$123</f>
        <v>0</v>
      </c>
      <c r="AA86" s="43">
        <f>'$$xSchpostCouncil 22'!AA86/'$$xSchpostCouncil 22'!AA$123</f>
        <v>0</v>
      </c>
      <c r="AB86" s="43">
        <f>'$$xSchpostCouncil 22'!AB86/'$$xSchpostCouncil 22'!AB$123</f>
        <v>0</v>
      </c>
      <c r="AC86" s="6"/>
      <c r="AD86" s="6">
        <v>205539</v>
      </c>
      <c r="AE86" s="43">
        <f>'$$xSchpostCouncil 22'!AE86/'$$xSchpostCouncil 22'!AE$123</f>
        <v>1</v>
      </c>
      <c r="AF86" s="43">
        <f>'$$xSchpostCouncil 22'!AF86/'$$xSchpostCouncil 22'!AF$123</f>
        <v>2</v>
      </c>
      <c r="AG86" s="43">
        <f>'$$xSchpostCouncil 22'!AG86/'$$xSchpostCouncil 22'!AG$123</f>
        <v>7</v>
      </c>
      <c r="AH86" s="43">
        <f>'$$xSchpostCouncil 22'!AH86/'$$xSchpostCouncil 22'!AH$123</f>
        <v>0</v>
      </c>
      <c r="AI86" s="43">
        <f>'$$xSchpostCouncil 22'!AI86/'$$xSchpostCouncil 22'!AI$123</f>
        <v>2</v>
      </c>
      <c r="AJ86" s="43"/>
      <c r="AK86" s="43">
        <f>'$$xSchpostCouncil 22'!AK86/'$$xSchpostCouncil 22'!AK$123</f>
        <v>0</v>
      </c>
      <c r="AL86" s="43">
        <f>'$$xSchpostCouncil 22'!AL86/'$$xSchpostCouncil 22'!AL$123</f>
        <v>0</v>
      </c>
      <c r="AM86" s="6"/>
      <c r="AN86" s="6"/>
      <c r="AO86" s="43">
        <f>'$$xSchpostCouncil 22'!AO86/'$$xSchpostCouncil 22'!AO$123</f>
        <v>15</v>
      </c>
      <c r="AP86" s="43">
        <f>'$$xSchpostCouncil 22'!AP86/'$$xSchpostCouncil 22'!AP$123</f>
        <v>0</v>
      </c>
      <c r="AQ86" s="43">
        <f>'$$xSchpostCouncil 22'!AQ86/'$$xSchpostCouncil 22'!AQ$123</f>
        <v>0</v>
      </c>
      <c r="AR86" s="6"/>
      <c r="AS86" s="6">
        <f>95200-47600</f>
        <v>47600</v>
      </c>
      <c r="AT86" s="6">
        <f>95200-47600</f>
        <v>47600</v>
      </c>
      <c r="AU86" s="6"/>
      <c r="AV86" s="6"/>
      <c r="AW86" s="6">
        <v>95200</v>
      </c>
      <c r="AX86" s="6"/>
      <c r="AY86" s="6"/>
      <c r="AZ86" s="6">
        <v>233063.74000000002</v>
      </c>
      <c r="BA86" s="6"/>
      <c r="BB86" s="6"/>
      <c r="BC86" s="43">
        <f>'$$xSchpostCouncil 22'!BC86/'$$xSchpostCouncil 22'!BC$123</f>
        <v>0</v>
      </c>
      <c r="BD86" s="43">
        <f>'$$xSchpostCouncil 22'!BD86/'$$xSchpostCouncil 22'!BD$123</f>
        <v>0</v>
      </c>
      <c r="BE86" s="6"/>
      <c r="BF86" s="6"/>
      <c r="BG86" s="6"/>
      <c r="BH86" s="43">
        <f>'$$xSchpostCouncil 22'!BH86/'$$xSchpostCouncil 22'!BH$123</f>
        <v>0</v>
      </c>
      <c r="BI86" s="6"/>
      <c r="BJ86" s="43">
        <f>'$$xSchpostCouncil 22'!BJ86/'$$xSchpostCouncil 22'!BJ$123</f>
        <v>0</v>
      </c>
      <c r="BK86" s="6"/>
      <c r="BL86" s="43">
        <f>'$$xSchpostCouncil 22'!BL86/'$$xSchpostCouncil 22'!BL$123</f>
        <v>0</v>
      </c>
      <c r="BM86" s="6"/>
      <c r="BN86" s="43">
        <f>'$$xSchpostCouncil 22'!BN86/'$$xSchpostCouncil 22'!BN$123</f>
        <v>0</v>
      </c>
      <c r="BO86" s="43">
        <f>'$$xSchpostCouncil 22'!BO86/'$$xSchpostCouncil 22'!BO$123</f>
        <v>0</v>
      </c>
      <c r="BP86" s="6"/>
      <c r="BQ86" s="6"/>
      <c r="BR86" s="6"/>
      <c r="BS86" s="6"/>
      <c r="BT86" s="6"/>
      <c r="BU86" s="43">
        <f>'$$xSchpostCouncil 22'!BU86/'$$xSchpostCouncil 22'!BU$123</f>
        <v>0</v>
      </c>
      <c r="BV86" s="43">
        <f>'$$xSchpostCouncil 22'!BV86/'$$xSchpostCouncil 22'!BV$123</f>
        <v>0</v>
      </c>
      <c r="BW86" s="43">
        <f>'$$xSchpostCouncil 22'!BW86/'$$xSchpostCouncil 22'!BW$123</f>
        <v>0</v>
      </c>
      <c r="BX86" s="6">
        <v>511367</v>
      </c>
      <c r="BY86" s="6"/>
      <c r="BZ86" s="6"/>
      <c r="CA86" s="6"/>
      <c r="CB86" s="6"/>
      <c r="CC86" s="6"/>
      <c r="CD86" s="6"/>
      <c r="CE86" s="6"/>
      <c r="CF86" s="6">
        <v>10200</v>
      </c>
      <c r="CI86" s="43">
        <f>'$$xSchpostCouncil 22'!CI86/'$$xSchpostCouncil 22'!CI$123</f>
        <v>1</v>
      </c>
      <c r="CJ86" s="43">
        <f>'$$xSchpostCouncil 22'!CJ86/'$$xSchpostCouncil 22'!CJ$123</f>
        <v>1.3000019165777588</v>
      </c>
      <c r="CK86" s="43">
        <f>'$$xSchpostCouncil 22'!CK86/'$$xSchpostCouncil 22'!CK$123</f>
        <v>1</v>
      </c>
      <c r="CL86" s="43">
        <f>'$$xSchpostCouncil 22'!CL86/'$$xSchpostCouncil 22'!CL$123</f>
        <v>1.3000059242876043</v>
      </c>
      <c r="CM86" s="43">
        <f>'$$xSchpostCouncil 22'!CM86/'$$xSchpostCouncil 22'!CM$123</f>
        <v>0</v>
      </c>
      <c r="CN86" s="43">
        <f>'$$xSchpostCouncil 22'!CN86/'$$xSchpostCouncil 22'!CN$123</f>
        <v>0</v>
      </c>
      <c r="CO86" s="43">
        <f>'$$xSchpostCouncil 22'!CO86/'$$xSchpostCouncil 22'!CO$123</f>
        <v>4.500004441720189</v>
      </c>
      <c r="CP86" s="43">
        <f>'$$xSchpostCouncil 22'!CP86/'$$xSchpostCouncil 22'!CP$123</f>
        <v>4</v>
      </c>
      <c r="CQ86" s="43">
        <f>'$$xSchpostCouncil 22'!CQ86/'$$xSchpostCouncil 22'!CQ$123</f>
        <v>22</v>
      </c>
      <c r="CR86" s="43">
        <f>'$$xSchpostCouncil 22'!CR86/'$$xSchpostCouncil 22'!CR$123</f>
        <v>0</v>
      </c>
      <c r="CS86" s="6"/>
      <c r="CT86" s="6"/>
      <c r="CU86" s="6"/>
      <c r="CV86" s="43">
        <f>'$$xSchpostCouncil 22'!CV86/'$$xSchpostCouncil 22'!CV$123</f>
        <v>0</v>
      </c>
      <c r="CW86" s="43">
        <f>'$$xSchpostCouncil 22'!CW86/'$$xSchpostCouncil 22'!CW$123</f>
        <v>0</v>
      </c>
      <c r="CX86" s="6">
        <v>0</v>
      </c>
      <c r="CY86" s="6"/>
      <c r="CZ86" s="6"/>
      <c r="DB86" s="43">
        <f>'$$xSchpostCouncil 22'!DB86/'$$xSchpostCouncil 22'!DB$123</f>
        <v>3</v>
      </c>
      <c r="DC86" s="43">
        <f>'$$xSchpostCouncil 22'!DC86/'$$xSchpostCouncil 22'!DC$123</f>
        <v>0</v>
      </c>
      <c r="DF86" s="43">
        <f>'$$xSchpostCouncil 22'!DF86/'$$xSchpostCouncil 22'!DF$123</f>
        <v>0</v>
      </c>
      <c r="DG86" s="43">
        <f>'$$xSchpostCouncil 22'!DG86/'$$xSchpostCouncil 22'!DG$123</f>
        <v>0</v>
      </c>
      <c r="DH86" s="43">
        <f>'$$xSchpostCouncil 22'!DH86/'$$xSchpostCouncil 22'!DH$123</f>
        <v>0</v>
      </c>
      <c r="DI86" s="43">
        <f>'$$xSchpostCouncil 22'!DI86/'$$xSchpostCouncil 22'!DI$123</f>
        <v>0</v>
      </c>
      <c r="DJ86" s="43">
        <f>'$$xSchpostCouncil 22'!DJ86/'$$xSchpostCouncil 22'!DJ$123</f>
        <v>0</v>
      </c>
      <c r="DK86" s="43">
        <f>'$$xSchpostCouncil 22'!DK86/'$$xSchpostCouncil 22'!DK$123</f>
        <v>0</v>
      </c>
      <c r="DL86" s="6">
        <v>4048</v>
      </c>
      <c r="DM86" s="6"/>
      <c r="DN86" s="43">
        <f>'$$xSchpostCouncil 22'!DN86/'$$xSchpostCouncil 22'!DN$123</f>
        <v>0</v>
      </c>
      <c r="DO86" s="6"/>
      <c r="DP86" s="6">
        <v>27500</v>
      </c>
      <c r="DU86" s="6">
        <f>VLOOKUP($A86,[3]Totals!$B$2:$K$119,10,FALSE)</f>
        <v>220932.61</v>
      </c>
      <c r="DV86" s="6">
        <f>VLOOKUP($A86,[3]Totals!$B$2:$K$119,9,FALSE)</f>
        <v>227087</v>
      </c>
    </row>
    <row r="87" spans="1:126" x14ac:dyDescent="0.2">
      <c r="A87" s="3">
        <v>316</v>
      </c>
      <c r="B87" s="2" t="s">
        <v>42</v>
      </c>
      <c r="C87" t="s">
        <v>7</v>
      </c>
      <c r="D87">
        <v>7</v>
      </c>
      <c r="E87" s="1">
        <v>331</v>
      </c>
      <c r="F87" s="4">
        <v>0.57099999999999995</v>
      </c>
      <c r="G87">
        <v>189</v>
      </c>
      <c r="H87" s="43">
        <f>'$$xSchpostCouncil 22'!H87/'$$xSchpostCouncil 22'!H$123</f>
        <v>1</v>
      </c>
      <c r="I87" s="43">
        <f>'$$xSchpostCouncil 22'!I87/'$$xSchpostCouncil 22'!I$123</f>
        <v>0</v>
      </c>
      <c r="J87" s="43">
        <f>'$$xSchpostCouncil 22'!J87/'$$xSchpostCouncil 22'!J$123</f>
        <v>0</v>
      </c>
      <c r="K87" s="43">
        <f>'$$xSchpostCouncil 22'!K87/'$$xSchpostCouncil 22'!K$123</f>
        <v>1</v>
      </c>
      <c r="L87" s="6">
        <v>5233</v>
      </c>
      <c r="M87" s="43">
        <f>'$$xSchpostCouncil 22'!M87/'$$xSchpostCouncil 22'!M$123</f>
        <v>1</v>
      </c>
      <c r="N87" s="43">
        <f>'$$xSchpostCouncil 22'!N87/'$$xSchpostCouncil 22'!N$123</f>
        <v>1</v>
      </c>
      <c r="O87" s="43">
        <f>'$$xSchpostCouncil 22'!O87/'$$xSchpostCouncil 22'!O$123</f>
        <v>2</v>
      </c>
      <c r="P87" s="43">
        <f>'$$xSchpostCouncil 22'!P87/'$$xSchpostCouncil 22'!P$123</f>
        <v>1</v>
      </c>
      <c r="Q87" s="43">
        <f>'$$xSchpostCouncil 22'!Q87/'$$xSchpostCouncil 22'!Q$123</f>
        <v>2</v>
      </c>
      <c r="R87" s="43">
        <f>'$$xSchpostCouncil 22'!R87/'$$xSchpostCouncil 22'!R$123</f>
        <v>1</v>
      </c>
      <c r="S87" s="43">
        <f>'$$xSchpostCouncil 22'!S87/'$$xSchpostCouncil 22'!S$123</f>
        <v>2</v>
      </c>
      <c r="T87" s="43">
        <f>'$$xSchpostCouncil 22'!T87/'$$xSchpostCouncil 22'!T$123</f>
        <v>5</v>
      </c>
      <c r="U87" s="6"/>
      <c r="V87" s="6"/>
      <c r="W87" s="6"/>
      <c r="X87" s="6"/>
      <c r="Y87" s="43">
        <f>'$$xSchpostCouncil 22'!Y87/'$$xSchpostCouncil 22'!Y$123</f>
        <v>0</v>
      </c>
      <c r="Z87" s="43">
        <f>'$$xSchpostCouncil 22'!Z87/'$$xSchpostCouncil 22'!Z$123</f>
        <v>0</v>
      </c>
      <c r="AA87" s="43">
        <f>'$$xSchpostCouncil 22'!AA87/'$$xSchpostCouncil 22'!AA$123</f>
        <v>0</v>
      </c>
      <c r="AB87" s="43">
        <f>'$$xSchpostCouncil 22'!AB87/'$$xSchpostCouncil 22'!AB$123</f>
        <v>0</v>
      </c>
      <c r="AC87" s="6"/>
      <c r="AD87" s="6">
        <v>115440</v>
      </c>
      <c r="AE87" s="43">
        <f>'$$xSchpostCouncil 22'!AE87/'$$xSchpostCouncil 22'!AE$123</f>
        <v>1</v>
      </c>
      <c r="AF87" s="43">
        <f>'$$xSchpostCouncil 22'!AF87/'$$xSchpostCouncil 22'!AF$123</f>
        <v>1</v>
      </c>
      <c r="AG87" s="43">
        <f>'$$xSchpostCouncil 22'!AG87/'$$xSchpostCouncil 22'!AG$123</f>
        <v>5</v>
      </c>
      <c r="AH87" s="43">
        <f>'$$xSchpostCouncil 22'!AH87/'$$xSchpostCouncil 22'!AH$123</f>
        <v>0</v>
      </c>
      <c r="AI87" s="43">
        <f>'$$xSchpostCouncil 22'!AI87/'$$xSchpostCouncil 22'!AI$123</f>
        <v>0</v>
      </c>
      <c r="AJ87" s="43"/>
      <c r="AK87" s="43">
        <f>'$$xSchpostCouncil 22'!AK87/'$$xSchpostCouncil 22'!AK$123</f>
        <v>0</v>
      </c>
      <c r="AL87" s="43">
        <f>'$$xSchpostCouncil 22'!AL87/'$$xSchpostCouncil 22'!AL$123</f>
        <v>0</v>
      </c>
      <c r="AM87" s="6"/>
      <c r="AN87" s="6"/>
      <c r="AO87" s="43">
        <f>'$$xSchpostCouncil 22'!AO87/'$$xSchpostCouncil 22'!AO$123</f>
        <v>0</v>
      </c>
      <c r="AP87" s="43">
        <f>'$$xSchpostCouncil 22'!AP87/'$$xSchpostCouncil 22'!AP$123</f>
        <v>0.14000302036972878</v>
      </c>
      <c r="AQ87" s="43">
        <f>'$$xSchpostCouncil 22'!AQ87/'$$xSchpostCouncil 22'!AQ$123</f>
        <v>0</v>
      </c>
      <c r="AR87" s="6"/>
      <c r="AS87" s="6">
        <f>34000-20400</f>
        <v>13600</v>
      </c>
      <c r="AT87" s="6">
        <f>34000-30600</f>
        <v>3400</v>
      </c>
      <c r="AU87" s="6">
        <v>10200</v>
      </c>
      <c r="AV87" s="6"/>
      <c r="AW87" s="6">
        <v>51000</v>
      </c>
      <c r="AX87" s="6"/>
      <c r="AY87" s="6"/>
      <c r="AZ87" s="6">
        <v>150086.86000000002</v>
      </c>
      <c r="BA87" s="6"/>
      <c r="BB87" s="6"/>
      <c r="BC87" s="43">
        <f>'$$xSchpostCouncil 22'!BC87/'$$xSchpostCouncil 22'!BC$123</f>
        <v>0</v>
      </c>
      <c r="BD87" s="43">
        <f>'$$xSchpostCouncil 22'!BD87/'$$xSchpostCouncil 22'!BD$123</f>
        <v>0</v>
      </c>
      <c r="BE87" s="6"/>
      <c r="BF87" s="6"/>
      <c r="BG87" s="6"/>
      <c r="BH87" s="43">
        <f>'$$xSchpostCouncil 22'!BH87/'$$xSchpostCouncil 22'!BH$123</f>
        <v>0</v>
      </c>
      <c r="BI87" s="6"/>
      <c r="BJ87" s="43">
        <f>'$$xSchpostCouncil 22'!BJ87/'$$xSchpostCouncil 22'!BJ$123</f>
        <v>0</v>
      </c>
      <c r="BK87" s="6"/>
      <c r="BL87" s="43">
        <f>'$$xSchpostCouncil 22'!BL87/'$$xSchpostCouncil 22'!BL$123</f>
        <v>0</v>
      </c>
      <c r="BM87" s="6"/>
      <c r="BN87" s="43">
        <f>'$$xSchpostCouncil 22'!BN87/'$$xSchpostCouncil 22'!BN$123</f>
        <v>0</v>
      </c>
      <c r="BO87" s="43">
        <f>'$$xSchpostCouncil 22'!BO87/'$$xSchpostCouncil 22'!BO$123</f>
        <v>0</v>
      </c>
      <c r="BP87" s="6"/>
      <c r="BQ87" s="6"/>
      <c r="BR87" s="6">
        <v>13859</v>
      </c>
      <c r="BS87" s="6"/>
      <c r="BT87" s="6"/>
      <c r="BU87" s="43">
        <f>'$$xSchpostCouncil 22'!BU87/'$$xSchpostCouncil 22'!BU$123</f>
        <v>0</v>
      </c>
      <c r="BV87" s="43">
        <f>'$$xSchpostCouncil 22'!BV87/'$$xSchpostCouncil 22'!BV$123</f>
        <v>0</v>
      </c>
      <c r="BW87" s="43">
        <f>'$$xSchpostCouncil 22'!BW87/'$$xSchpostCouncil 22'!BW$123</f>
        <v>0</v>
      </c>
      <c r="BX87" s="6">
        <v>478457.58999999997</v>
      </c>
      <c r="BY87" s="6"/>
      <c r="BZ87" s="6"/>
      <c r="CA87" s="6"/>
      <c r="CB87" s="6"/>
      <c r="CC87" s="6"/>
      <c r="CD87" s="6"/>
      <c r="CE87" s="6">
        <v>112569</v>
      </c>
      <c r="CF87" s="6">
        <v>112569</v>
      </c>
      <c r="CI87" s="43">
        <f>'$$xSchpostCouncil 22'!CI87/'$$xSchpostCouncil 22'!CI$123</f>
        <v>1</v>
      </c>
      <c r="CJ87" s="43">
        <f>'$$xSchpostCouncil 22'!CJ87/'$$xSchpostCouncil 22'!CJ$123</f>
        <v>0.79999872228149416</v>
      </c>
      <c r="CK87" s="43">
        <f>'$$xSchpostCouncil 22'!CK87/'$$xSchpostCouncil 22'!CK$123</f>
        <v>1</v>
      </c>
      <c r="CL87" s="43">
        <f>'$$xSchpostCouncil 22'!CL87/'$$xSchpostCouncil 22'!CL$123</f>
        <v>0</v>
      </c>
      <c r="CM87" s="43">
        <f>'$$xSchpostCouncil 22'!CM87/'$$xSchpostCouncil 22'!CM$123</f>
        <v>0</v>
      </c>
      <c r="CN87" s="43">
        <f>'$$xSchpostCouncil 22'!CN87/'$$xSchpostCouncil 22'!CN$123</f>
        <v>0</v>
      </c>
      <c r="CO87" s="43">
        <f>'$$xSchpostCouncil 22'!CO87/'$$xSchpostCouncil 22'!CO$123</f>
        <v>3</v>
      </c>
      <c r="CP87" s="43">
        <f>'$$xSchpostCouncil 22'!CP87/'$$xSchpostCouncil 22'!CP$123</f>
        <v>2</v>
      </c>
      <c r="CQ87" s="43">
        <f>'$$xSchpostCouncil 22'!CQ87/'$$xSchpostCouncil 22'!CQ$123</f>
        <v>12</v>
      </c>
      <c r="CR87" s="43">
        <f>'$$xSchpostCouncil 22'!CR87/'$$xSchpostCouncil 22'!CR$123</f>
        <v>0</v>
      </c>
      <c r="CS87" s="6"/>
      <c r="CT87" s="6"/>
      <c r="CU87" s="6"/>
      <c r="CV87" s="43">
        <f>'$$xSchpostCouncil 22'!CV87/'$$xSchpostCouncil 22'!CV$123</f>
        <v>0</v>
      </c>
      <c r="CW87" s="43">
        <f>'$$xSchpostCouncil 22'!CW87/'$$xSchpostCouncil 22'!CW$123</f>
        <v>0</v>
      </c>
      <c r="CX87" s="6">
        <v>0</v>
      </c>
      <c r="CY87" s="6"/>
      <c r="CZ87" s="6"/>
      <c r="DB87" s="43">
        <f>'$$xSchpostCouncil 22'!DB87/'$$xSchpostCouncil 22'!DB$123</f>
        <v>0</v>
      </c>
      <c r="DC87" s="43">
        <f>'$$xSchpostCouncil 22'!DC87/'$$xSchpostCouncil 22'!DC$123</f>
        <v>0</v>
      </c>
      <c r="DF87" s="43">
        <f>'$$xSchpostCouncil 22'!DF87/'$$xSchpostCouncil 22'!DF$123</f>
        <v>0</v>
      </c>
      <c r="DG87" s="43">
        <f>'$$xSchpostCouncil 22'!DG87/'$$xSchpostCouncil 22'!DG$123</f>
        <v>0</v>
      </c>
      <c r="DH87" s="43">
        <f>'$$xSchpostCouncil 22'!DH87/'$$xSchpostCouncil 22'!DH$123</f>
        <v>0</v>
      </c>
      <c r="DI87" s="43">
        <f>'$$xSchpostCouncil 22'!DI87/'$$xSchpostCouncil 22'!DI$123</f>
        <v>0</v>
      </c>
      <c r="DJ87" s="43">
        <f>'$$xSchpostCouncil 22'!DJ87/'$$xSchpostCouncil 22'!DJ$123</f>
        <v>0</v>
      </c>
      <c r="DK87" s="43">
        <f>'$$xSchpostCouncil 22'!DK87/'$$xSchpostCouncil 22'!DK$123</f>
        <v>0</v>
      </c>
      <c r="DL87" s="6">
        <v>3776</v>
      </c>
      <c r="DM87" s="6"/>
      <c r="DN87" s="43">
        <f>'$$xSchpostCouncil 22'!DN87/'$$xSchpostCouncil 22'!DN$123</f>
        <v>0</v>
      </c>
      <c r="DO87" s="6"/>
      <c r="DP87" s="6">
        <v>24375</v>
      </c>
      <c r="DU87" s="6">
        <f>VLOOKUP($A87,[3]Totals!$B$2:$K$119,10,FALSE)</f>
        <v>109208.97</v>
      </c>
      <c r="DV87" s="6">
        <f>VLOOKUP($A87,[3]Totals!$B$2:$K$119,9,FALSE)</f>
        <v>224569</v>
      </c>
    </row>
    <row r="88" spans="1:126" x14ac:dyDescent="0.2">
      <c r="A88" s="3">
        <v>302</v>
      </c>
      <c r="B88" s="2" t="s">
        <v>41</v>
      </c>
      <c r="C88" t="s">
        <v>7</v>
      </c>
      <c r="D88">
        <v>4</v>
      </c>
      <c r="E88" s="1">
        <v>473</v>
      </c>
      <c r="F88" s="4">
        <v>0.53900000000000003</v>
      </c>
      <c r="G88">
        <v>255</v>
      </c>
      <c r="H88" s="43">
        <f>'$$xSchpostCouncil 22'!H88/'$$xSchpostCouncil 22'!H$123</f>
        <v>1</v>
      </c>
      <c r="I88" s="43">
        <f>'$$xSchpostCouncil 22'!I88/'$$xSchpostCouncil 22'!I$123</f>
        <v>0</v>
      </c>
      <c r="J88" s="43">
        <f>'$$xSchpostCouncil 22'!J88/'$$xSchpostCouncil 22'!J$123</f>
        <v>0</v>
      </c>
      <c r="K88" s="43">
        <f>'$$xSchpostCouncil 22'!K88/'$$xSchpostCouncil 22'!K$123</f>
        <v>1</v>
      </c>
      <c r="L88" s="6">
        <v>5138</v>
      </c>
      <c r="M88" s="43">
        <f>'$$xSchpostCouncil 22'!M88/'$$xSchpostCouncil 22'!M$123</f>
        <v>1</v>
      </c>
      <c r="N88" s="43">
        <f>'$$xSchpostCouncil 22'!N88/'$$xSchpostCouncil 22'!N$123</f>
        <v>1</v>
      </c>
      <c r="O88" s="43">
        <f>'$$xSchpostCouncil 22'!O88/'$$xSchpostCouncil 22'!O$123</f>
        <v>2</v>
      </c>
      <c r="P88" s="43">
        <f>'$$xSchpostCouncil 22'!P88/'$$xSchpostCouncil 22'!P$123</f>
        <v>1</v>
      </c>
      <c r="Q88" s="43">
        <f>'$$xSchpostCouncil 22'!Q88/'$$xSchpostCouncil 22'!Q$123</f>
        <v>3</v>
      </c>
      <c r="R88" s="43">
        <f>'$$xSchpostCouncil 22'!R88/'$$xSchpostCouncil 22'!R$123</f>
        <v>0</v>
      </c>
      <c r="S88" s="43">
        <f>'$$xSchpostCouncil 22'!S88/'$$xSchpostCouncil 22'!S$123</f>
        <v>3</v>
      </c>
      <c r="T88" s="43">
        <f>'$$xSchpostCouncil 22'!T88/'$$xSchpostCouncil 22'!T$123</f>
        <v>6</v>
      </c>
      <c r="U88" s="6"/>
      <c r="V88" s="6"/>
      <c r="W88" s="6"/>
      <c r="X88" s="6"/>
      <c r="Y88" s="43">
        <f>'$$xSchpostCouncil 22'!Y88/'$$xSchpostCouncil 22'!Y$123</f>
        <v>0</v>
      </c>
      <c r="Z88" s="43">
        <f>'$$xSchpostCouncil 22'!Z88/'$$xSchpostCouncil 22'!Z$123</f>
        <v>0</v>
      </c>
      <c r="AA88" s="43">
        <f>'$$xSchpostCouncil 22'!AA88/'$$xSchpostCouncil 22'!AA$123</f>
        <v>0</v>
      </c>
      <c r="AB88" s="43">
        <f>'$$xSchpostCouncil 22'!AB88/'$$xSchpostCouncil 22'!AB$123</f>
        <v>0</v>
      </c>
      <c r="AC88" s="6"/>
      <c r="AD88" s="6">
        <v>194660</v>
      </c>
      <c r="AE88" s="43">
        <f>'$$xSchpostCouncil 22'!AE88/'$$xSchpostCouncil 22'!AE$123</f>
        <v>1</v>
      </c>
      <c r="AF88" s="43">
        <f>'$$xSchpostCouncil 22'!AF88/'$$xSchpostCouncil 22'!AF$123</f>
        <v>2</v>
      </c>
      <c r="AG88" s="43">
        <f>'$$xSchpostCouncil 22'!AG88/'$$xSchpostCouncil 22'!AG$123</f>
        <v>8</v>
      </c>
      <c r="AH88" s="43">
        <f>'$$xSchpostCouncil 22'!AH88/'$$xSchpostCouncil 22'!AH$123</f>
        <v>0</v>
      </c>
      <c r="AI88" s="43">
        <f>'$$xSchpostCouncil 22'!AI88/'$$xSchpostCouncil 22'!AI$123</f>
        <v>6</v>
      </c>
      <c r="AJ88" s="43"/>
      <c r="AK88" s="43">
        <f>'$$xSchpostCouncil 22'!AK88/'$$xSchpostCouncil 22'!AK$123</f>
        <v>0</v>
      </c>
      <c r="AL88" s="43">
        <f>'$$xSchpostCouncil 22'!AL88/'$$xSchpostCouncil 22'!AL$123</f>
        <v>0</v>
      </c>
      <c r="AM88" s="6"/>
      <c r="AN88" s="6"/>
      <c r="AO88" s="43">
        <f>'$$xSchpostCouncil 22'!AO88/'$$xSchpostCouncil 22'!AO$123</f>
        <v>12</v>
      </c>
      <c r="AP88" s="43">
        <f>'$$xSchpostCouncil 22'!AP88/'$$xSchpostCouncil 22'!AP$123</f>
        <v>0</v>
      </c>
      <c r="AQ88" s="43">
        <f>'$$xSchpostCouncil 22'!AQ88/'$$xSchpostCouncil 22'!AQ$123</f>
        <v>0</v>
      </c>
      <c r="AR88" s="6"/>
      <c r="AS88" s="6">
        <f>47600-27200</f>
        <v>20400</v>
      </c>
      <c r="AT88" s="6">
        <f>47600-37400</f>
        <v>10200</v>
      </c>
      <c r="AU88" s="6">
        <v>10200</v>
      </c>
      <c r="AV88" s="6"/>
      <c r="AW88" s="6">
        <v>64600</v>
      </c>
      <c r="AX88" s="6"/>
      <c r="AY88" s="6"/>
      <c r="AZ88" s="6">
        <v>150697.28</v>
      </c>
      <c r="BA88" s="6"/>
      <c r="BB88" s="6"/>
      <c r="BC88" s="43">
        <f>'$$xSchpostCouncil 22'!BC88/'$$xSchpostCouncil 22'!BC$123</f>
        <v>0</v>
      </c>
      <c r="BD88" s="43">
        <f>'$$xSchpostCouncil 22'!BD88/'$$xSchpostCouncil 22'!BD$123</f>
        <v>0</v>
      </c>
      <c r="BE88" s="6"/>
      <c r="BF88" s="6"/>
      <c r="BG88" s="6"/>
      <c r="BH88" s="43">
        <f>'$$xSchpostCouncil 22'!BH88/'$$xSchpostCouncil 22'!BH$123</f>
        <v>0</v>
      </c>
      <c r="BI88" s="6"/>
      <c r="BJ88" s="43">
        <f>'$$xSchpostCouncil 22'!BJ88/'$$xSchpostCouncil 22'!BJ$123</f>
        <v>0</v>
      </c>
      <c r="BK88" s="6"/>
      <c r="BL88" s="43">
        <f>'$$xSchpostCouncil 22'!BL88/'$$xSchpostCouncil 22'!BL$123</f>
        <v>0</v>
      </c>
      <c r="BM88" s="6"/>
      <c r="BN88" s="43">
        <f>'$$xSchpostCouncil 22'!BN88/'$$xSchpostCouncil 22'!BN$123</f>
        <v>0</v>
      </c>
      <c r="BO88" s="43">
        <f>'$$xSchpostCouncil 22'!BO88/'$$xSchpostCouncil 22'!BO$123</f>
        <v>0</v>
      </c>
      <c r="BP88" s="6"/>
      <c r="BQ88" s="6"/>
      <c r="BR88" s="6"/>
      <c r="BS88" s="6"/>
      <c r="BT88" s="6"/>
      <c r="BU88" s="43">
        <f>'$$xSchpostCouncil 22'!BU88/'$$xSchpostCouncil 22'!BU$123</f>
        <v>0</v>
      </c>
      <c r="BV88" s="43">
        <f>'$$xSchpostCouncil 22'!BV88/'$$xSchpostCouncil 22'!BV$123</f>
        <v>0</v>
      </c>
      <c r="BW88" s="43">
        <f>'$$xSchpostCouncil 22'!BW88/'$$xSchpostCouncil 22'!BW$123</f>
        <v>0</v>
      </c>
      <c r="BX88" s="6">
        <v>645537.86</v>
      </c>
      <c r="BY88" s="6"/>
      <c r="BZ88" s="6"/>
      <c r="CA88" s="6"/>
      <c r="CB88" s="6"/>
      <c r="CC88" s="6"/>
      <c r="CD88" s="6"/>
      <c r="CE88" s="6"/>
      <c r="CF88" s="6">
        <v>0</v>
      </c>
      <c r="CI88" s="43">
        <f>'$$xSchpostCouncil 22'!CI88/'$$xSchpostCouncil 22'!CI$123</f>
        <v>1</v>
      </c>
      <c r="CJ88" s="43">
        <f>'$$xSchpostCouncil 22'!CJ88/'$$xSchpostCouncil 22'!CJ$123</f>
        <v>1.2000012777185058</v>
      </c>
      <c r="CK88" s="43">
        <f>'$$xSchpostCouncil 22'!CK88/'$$xSchpostCouncil 22'!CK$123</f>
        <v>1</v>
      </c>
      <c r="CL88" s="43">
        <f>'$$xSchpostCouncil 22'!CL88/'$$xSchpostCouncil 22'!CL$123</f>
        <v>1.2000039495250696</v>
      </c>
      <c r="CM88" s="43">
        <f>'$$xSchpostCouncil 22'!CM88/'$$xSchpostCouncil 22'!CM$123</f>
        <v>0</v>
      </c>
      <c r="CN88" s="43">
        <f>'$$xSchpostCouncil 22'!CN88/'$$xSchpostCouncil 22'!CN$123</f>
        <v>0</v>
      </c>
      <c r="CO88" s="43">
        <f>'$$xSchpostCouncil 22'!CO88/'$$xSchpostCouncil 22'!CO$123</f>
        <v>4.500004441720189</v>
      </c>
      <c r="CP88" s="43">
        <f>'$$xSchpostCouncil 22'!CP88/'$$xSchpostCouncil 22'!CP$123</f>
        <v>3</v>
      </c>
      <c r="CQ88" s="43">
        <f>'$$xSchpostCouncil 22'!CQ88/'$$xSchpostCouncil 22'!CQ$123</f>
        <v>20</v>
      </c>
      <c r="CR88" s="43">
        <f>'$$xSchpostCouncil 22'!CR88/'$$xSchpostCouncil 22'!CR$123</f>
        <v>0</v>
      </c>
      <c r="CS88" s="6"/>
      <c r="CT88" s="6"/>
      <c r="CU88" s="6"/>
      <c r="CV88" s="43">
        <f>'$$xSchpostCouncil 22'!CV88/'$$xSchpostCouncil 22'!CV$123</f>
        <v>0</v>
      </c>
      <c r="CW88" s="43">
        <f>'$$xSchpostCouncil 22'!CW88/'$$xSchpostCouncil 22'!CW$123</f>
        <v>0</v>
      </c>
      <c r="CX88" s="6">
        <v>0</v>
      </c>
      <c r="CY88" s="6"/>
      <c r="CZ88" s="6"/>
      <c r="DB88" s="43">
        <f>'$$xSchpostCouncil 22'!DB88/'$$xSchpostCouncil 22'!DB$123</f>
        <v>2</v>
      </c>
      <c r="DC88" s="43">
        <f>'$$xSchpostCouncil 22'!DC88/'$$xSchpostCouncil 22'!DC$123</f>
        <v>0</v>
      </c>
      <c r="DF88" s="43">
        <f>'$$xSchpostCouncil 22'!DF88/'$$xSchpostCouncil 22'!DF$123</f>
        <v>0</v>
      </c>
      <c r="DG88" s="43">
        <f>'$$xSchpostCouncil 22'!DG88/'$$xSchpostCouncil 22'!DG$123</f>
        <v>0.49999555827981063</v>
      </c>
      <c r="DH88" s="43">
        <f>'$$xSchpostCouncil 22'!DH88/'$$xSchpostCouncil 22'!DH$123</f>
        <v>0</v>
      </c>
      <c r="DI88" s="43">
        <f>'$$xSchpostCouncil 22'!DI88/'$$xSchpostCouncil 22'!DI$123</f>
        <v>0</v>
      </c>
      <c r="DJ88" s="43">
        <f>'$$xSchpostCouncil 22'!DJ88/'$$xSchpostCouncil 22'!DJ$123</f>
        <v>0</v>
      </c>
      <c r="DK88" s="43">
        <f>'$$xSchpostCouncil 22'!DK88/'$$xSchpostCouncil 22'!DK$123</f>
        <v>0</v>
      </c>
      <c r="DL88" s="6">
        <v>5106</v>
      </c>
      <c r="DM88" s="6"/>
      <c r="DN88" s="43">
        <f>'$$xSchpostCouncil 22'!DN88/'$$xSchpostCouncil 22'!DN$123</f>
        <v>0</v>
      </c>
      <c r="DO88" s="6"/>
      <c r="DP88" s="6">
        <v>26950</v>
      </c>
      <c r="DU88" s="6">
        <f>VLOOKUP($A88,[3]Totals!$B$2:$K$119,10,FALSE)</f>
        <v>258729.92</v>
      </c>
      <c r="DV88" s="6">
        <f>VLOOKUP($A88,[3]Totals!$B$2:$K$119,9,FALSE)</f>
        <v>187557</v>
      </c>
    </row>
    <row r="89" spans="1:126" x14ac:dyDescent="0.2">
      <c r="A89" s="3">
        <v>304</v>
      </c>
      <c r="B89" s="2" t="s">
        <v>40</v>
      </c>
      <c r="C89" t="s">
        <v>39</v>
      </c>
      <c r="D89">
        <v>7</v>
      </c>
      <c r="E89" s="1">
        <v>132</v>
      </c>
      <c r="F89" s="4">
        <v>0.47</v>
      </c>
      <c r="G89">
        <v>62</v>
      </c>
      <c r="H89" s="43">
        <f>'$$xSchpostCouncil 22'!H89/'$$xSchpostCouncil 22'!H$123</f>
        <v>1</v>
      </c>
      <c r="I89" s="43">
        <f>'$$xSchpostCouncil 22'!I89/'$$xSchpostCouncil 22'!I$123</f>
        <v>0</v>
      </c>
      <c r="J89" s="43">
        <f>'$$xSchpostCouncil 22'!J89/'$$xSchpostCouncil 22'!J$123</f>
        <v>0</v>
      </c>
      <c r="K89" s="43">
        <f>'$$xSchpostCouncil 22'!K89/'$$xSchpostCouncil 22'!K$123</f>
        <v>1</v>
      </c>
      <c r="L89" s="6">
        <v>5047</v>
      </c>
      <c r="M89" s="43">
        <f>'$$xSchpostCouncil 22'!M89/'$$xSchpostCouncil 22'!M$123</f>
        <v>1</v>
      </c>
      <c r="N89" s="43">
        <f>'$$xSchpostCouncil 22'!N89/'$$xSchpostCouncil 22'!N$123</f>
        <v>1</v>
      </c>
      <c r="O89" s="43">
        <f>'$$xSchpostCouncil 22'!O89/'$$xSchpostCouncil 22'!O$123</f>
        <v>1</v>
      </c>
      <c r="P89" s="43">
        <f>'$$xSchpostCouncil 22'!P89/'$$xSchpostCouncil 22'!P$123</f>
        <v>1.0000006218408266</v>
      </c>
      <c r="Q89" s="43">
        <f>'$$xSchpostCouncil 22'!Q89/'$$xSchpostCouncil 22'!Q$123</f>
        <v>0</v>
      </c>
      <c r="R89" s="43">
        <f>'$$xSchpostCouncil 22'!R89/'$$xSchpostCouncil 22'!R$123</f>
        <v>0</v>
      </c>
      <c r="S89" s="43">
        <f>'$$xSchpostCouncil 22'!S89/'$$xSchpostCouncil 22'!S$123</f>
        <v>0</v>
      </c>
      <c r="T89" s="43">
        <f>'$$xSchpostCouncil 22'!T89/'$$xSchpostCouncil 22'!T$123</f>
        <v>0</v>
      </c>
      <c r="U89" s="6"/>
      <c r="V89" s="6"/>
      <c r="W89" s="6"/>
      <c r="X89" s="6"/>
      <c r="Y89" s="43">
        <f>'$$xSchpostCouncil 22'!Y89/'$$xSchpostCouncil 22'!Y$123</f>
        <v>0</v>
      </c>
      <c r="Z89" s="43">
        <f>'$$xSchpostCouncil 22'!Z89/'$$xSchpostCouncil 22'!Z$123</f>
        <v>0</v>
      </c>
      <c r="AA89" s="43">
        <f>'$$xSchpostCouncil 22'!AA89/'$$xSchpostCouncil 22'!AA$123</f>
        <v>0</v>
      </c>
      <c r="AB89" s="43">
        <f>'$$xSchpostCouncil 22'!AB89/'$$xSchpostCouncil 22'!AB$123</f>
        <v>0</v>
      </c>
      <c r="AC89" s="6"/>
      <c r="AD89" s="6">
        <v>111731</v>
      </c>
      <c r="AE89" s="43">
        <f>'$$xSchpostCouncil 22'!AE89/'$$xSchpostCouncil 22'!AE$123</f>
        <v>1</v>
      </c>
      <c r="AF89" s="43">
        <f>'$$xSchpostCouncil 22'!AF89/'$$xSchpostCouncil 22'!AF$123</f>
        <v>1</v>
      </c>
      <c r="AG89" s="43">
        <f>'$$xSchpostCouncil 22'!AG89/'$$xSchpostCouncil 22'!AG$123</f>
        <v>21</v>
      </c>
      <c r="AH89" s="43">
        <f>'$$xSchpostCouncil 22'!AH89/'$$xSchpostCouncil 22'!AH$123</f>
        <v>0</v>
      </c>
      <c r="AI89" s="43">
        <f>'$$xSchpostCouncil 22'!AI89/'$$xSchpostCouncil 22'!AI$123</f>
        <v>23</v>
      </c>
      <c r="AJ89" s="43"/>
      <c r="AK89" s="43">
        <f>'$$xSchpostCouncil 22'!AK89/'$$xSchpostCouncil 22'!AK$123</f>
        <v>2</v>
      </c>
      <c r="AL89" s="43">
        <f>'$$xSchpostCouncil 22'!AL89/'$$xSchpostCouncil 22'!AL$123</f>
        <v>0</v>
      </c>
      <c r="AM89" s="6"/>
      <c r="AN89" s="6"/>
      <c r="AO89" s="43">
        <f>'$$xSchpostCouncil 22'!AO89/'$$xSchpostCouncil 22'!AO$123</f>
        <v>1</v>
      </c>
      <c r="AP89" s="43">
        <f>'$$xSchpostCouncil 22'!AP89/'$$xSchpostCouncil 22'!AP$123</f>
        <v>0</v>
      </c>
      <c r="AQ89" s="43">
        <f>'$$xSchpostCouncil 22'!AQ89/'$$xSchpostCouncil 22'!AQ$123</f>
        <v>0</v>
      </c>
      <c r="AR89" s="6"/>
      <c r="AS89" s="6">
        <f>54400-20400</f>
        <v>34000</v>
      </c>
      <c r="AT89" s="6">
        <f>74800-51000</f>
        <v>23800</v>
      </c>
      <c r="AU89" s="6">
        <v>10200</v>
      </c>
      <c r="AV89" s="6"/>
      <c r="AW89" s="6">
        <v>30600</v>
      </c>
      <c r="AX89" s="6"/>
      <c r="AY89" s="6"/>
      <c r="AZ89" s="6">
        <v>59854</v>
      </c>
      <c r="BA89" s="6"/>
      <c r="BB89" s="6"/>
      <c r="BC89" s="43">
        <f>'$$xSchpostCouncil 22'!BC89/'$$xSchpostCouncil 22'!BC$123</f>
        <v>0</v>
      </c>
      <c r="BD89" s="43">
        <f>'$$xSchpostCouncil 22'!BD89/'$$xSchpostCouncil 22'!BD$123</f>
        <v>0</v>
      </c>
      <c r="BE89" s="6"/>
      <c r="BF89" s="6"/>
      <c r="BG89" s="6"/>
      <c r="BH89" s="43">
        <f>'$$xSchpostCouncil 22'!BH89/'$$xSchpostCouncil 22'!BH$123</f>
        <v>0</v>
      </c>
      <c r="BI89" s="6"/>
      <c r="BJ89" s="43">
        <f>'$$xSchpostCouncil 22'!BJ89/'$$xSchpostCouncil 22'!BJ$123</f>
        <v>0</v>
      </c>
      <c r="BK89" s="6"/>
      <c r="BL89" s="43">
        <f>'$$xSchpostCouncil 22'!BL89/'$$xSchpostCouncil 22'!BL$123</f>
        <v>0</v>
      </c>
      <c r="BM89" s="6"/>
      <c r="BN89" s="43">
        <f>'$$xSchpostCouncil 22'!BN89/'$$xSchpostCouncil 22'!BN$123</f>
        <v>0</v>
      </c>
      <c r="BO89" s="43">
        <f>'$$xSchpostCouncil 22'!BO89/'$$xSchpostCouncil 22'!BO$123</f>
        <v>0</v>
      </c>
      <c r="BP89" s="6"/>
      <c r="BQ89" s="6"/>
      <c r="BR89" s="6"/>
      <c r="BS89" s="6"/>
      <c r="BT89" s="6"/>
      <c r="BU89" s="43">
        <f>'$$xSchpostCouncil 22'!BU89/'$$xSchpostCouncil 22'!BU$123</f>
        <v>0</v>
      </c>
      <c r="BV89" s="43">
        <f>'$$xSchpostCouncil 22'!BV89/'$$xSchpostCouncil 22'!BV$123</f>
        <v>0</v>
      </c>
      <c r="BW89" s="43">
        <f>'$$xSchpostCouncil 22'!BW89/'$$xSchpostCouncil 22'!BW$123</f>
        <v>0</v>
      </c>
      <c r="BX89" s="6">
        <v>174016</v>
      </c>
      <c r="BY89" s="6"/>
      <c r="BZ89" s="6"/>
      <c r="CA89" s="6"/>
      <c r="CB89" s="6"/>
      <c r="CC89" s="6"/>
      <c r="CD89" s="6"/>
      <c r="CE89" s="6"/>
      <c r="CF89" s="6">
        <v>0</v>
      </c>
      <c r="CI89" s="43">
        <f>'$$xSchpostCouncil 22'!CI89/'$$xSchpostCouncil 22'!CI$123</f>
        <v>1</v>
      </c>
      <c r="CJ89" s="43">
        <f>'$$xSchpostCouncil 22'!CJ89/'$$xSchpostCouncil 22'!CJ$123</f>
        <v>0</v>
      </c>
      <c r="CK89" s="43">
        <f>'$$xSchpostCouncil 22'!CK89/'$$xSchpostCouncil 22'!CK$123</f>
        <v>0.50000550182110282</v>
      </c>
      <c r="CL89" s="43">
        <f>'$$xSchpostCouncil 22'!CL89/'$$xSchpostCouncil 22'!CL$123</f>
        <v>0</v>
      </c>
      <c r="CM89" s="43">
        <f>'$$xSchpostCouncil 22'!CM89/'$$xSchpostCouncil 22'!CM$123</f>
        <v>0</v>
      </c>
      <c r="CN89" s="43">
        <f>'$$xSchpostCouncil 22'!CN89/'$$xSchpostCouncil 22'!CN$123</f>
        <v>0</v>
      </c>
      <c r="CO89" s="43">
        <f>'$$xSchpostCouncil 22'!CO89/'$$xSchpostCouncil 22'!CO$123</f>
        <v>3</v>
      </c>
      <c r="CP89" s="43">
        <f>'$$xSchpostCouncil 22'!CP89/'$$xSchpostCouncil 22'!CP$123</f>
        <v>0</v>
      </c>
      <c r="CQ89" s="43">
        <f>'$$xSchpostCouncil 22'!CQ89/'$$xSchpostCouncil 22'!CQ$123</f>
        <v>5.500004441720189</v>
      </c>
      <c r="CR89" s="43">
        <f>'$$xSchpostCouncil 22'!CR89/'$$xSchpostCouncil 22'!CR$123</f>
        <v>2</v>
      </c>
      <c r="CS89" s="6">
        <v>23000</v>
      </c>
      <c r="CT89" s="6"/>
      <c r="CU89" s="6">
        <v>100000</v>
      </c>
      <c r="CV89" s="43">
        <f>'$$xSchpostCouncil 22'!CV89/'$$xSchpostCouncil 22'!CV$123</f>
        <v>0</v>
      </c>
      <c r="CW89" s="43">
        <f>'$$xSchpostCouncil 22'!CW89/'$$xSchpostCouncil 22'!CW$123</f>
        <v>0</v>
      </c>
      <c r="CX89" s="6">
        <v>0</v>
      </c>
      <c r="CY89" s="6"/>
      <c r="CZ89" s="6"/>
      <c r="DB89" s="43">
        <f>'$$xSchpostCouncil 22'!DB89/'$$xSchpostCouncil 22'!DB$123</f>
        <v>0</v>
      </c>
      <c r="DC89" s="43">
        <f>'$$xSchpostCouncil 22'!DC89/'$$xSchpostCouncil 22'!DC$123</f>
        <v>0</v>
      </c>
      <c r="DF89" s="43">
        <f>'$$xSchpostCouncil 22'!DF89/'$$xSchpostCouncil 22'!DF$123</f>
        <v>0</v>
      </c>
      <c r="DG89" s="43">
        <f>'$$xSchpostCouncil 22'!DG89/'$$xSchpostCouncil 22'!DG$123</f>
        <v>0</v>
      </c>
      <c r="DH89" s="43">
        <f>'$$xSchpostCouncil 22'!DH89/'$$xSchpostCouncil 22'!DH$123</f>
        <v>0</v>
      </c>
      <c r="DI89" s="43">
        <f>'$$xSchpostCouncil 22'!DI89/'$$xSchpostCouncil 22'!DI$123</f>
        <v>0</v>
      </c>
      <c r="DJ89" s="43">
        <f>'$$xSchpostCouncil 22'!DJ89/'$$xSchpostCouncil 22'!DJ$123</f>
        <v>0</v>
      </c>
      <c r="DK89" s="43">
        <f>'$$xSchpostCouncil 22'!DK89/'$$xSchpostCouncil 22'!DK$123</f>
        <v>0</v>
      </c>
      <c r="DL89" s="6">
        <v>1243</v>
      </c>
      <c r="DM89" s="6"/>
      <c r="DN89" s="43">
        <f>'$$xSchpostCouncil 22'!DN89/'$$xSchpostCouncil 22'!DN$123</f>
        <v>0</v>
      </c>
      <c r="DO89" s="6"/>
      <c r="DP89" s="6">
        <v>7053</v>
      </c>
      <c r="DU89" s="6">
        <f>VLOOKUP($A89,[3]Totals!$B$2:$K$119,10,FALSE)</f>
        <v>25135.54</v>
      </c>
      <c r="DV89" s="6">
        <f>VLOOKUP($A89,[3]Totals!$B$2:$K$119,9,FALSE)</f>
        <v>0</v>
      </c>
    </row>
    <row r="90" spans="1:126" x14ac:dyDescent="0.2">
      <c r="A90" s="3">
        <v>436</v>
      </c>
      <c r="B90" s="2" t="s">
        <v>38</v>
      </c>
      <c r="C90" t="s">
        <v>1</v>
      </c>
      <c r="D90">
        <v>7</v>
      </c>
      <c r="E90" s="1">
        <v>216</v>
      </c>
      <c r="F90" s="4">
        <v>0.875</v>
      </c>
      <c r="G90">
        <v>189</v>
      </c>
      <c r="H90" s="43">
        <f>'$$xSchpostCouncil 22'!H90/'$$xSchpostCouncil 22'!H$123</f>
        <v>1</v>
      </c>
      <c r="I90" s="43">
        <f>'$$xSchpostCouncil 22'!I90/'$$xSchpostCouncil 22'!I$123</f>
        <v>0</v>
      </c>
      <c r="J90" s="43">
        <f>'$$xSchpostCouncil 22'!J90/'$$xSchpostCouncil 22'!J$123</f>
        <v>1</v>
      </c>
      <c r="K90" s="43">
        <f>'$$xSchpostCouncil 22'!K90/'$$xSchpostCouncil 22'!K$123</f>
        <v>1</v>
      </c>
      <c r="L90" s="6">
        <v>6387</v>
      </c>
      <c r="M90" s="43">
        <f>'$$xSchpostCouncil 22'!M90/'$$xSchpostCouncil 22'!M$123</f>
        <v>1</v>
      </c>
      <c r="N90" s="43">
        <f>'$$xSchpostCouncil 22'!N90/'$$xSchpostCouncil 22'!N$123</f>
        <v>1</v>
      </c>
      <c r="O90" s="43">
        <f>'$$xSchpostCouncil 22'!O90/'$$xSchpostCouncil 22'!O$123</f>
        <v>4</v>
      </c>
      <c r="P90" s="43">
        <f>'$$xSchpostCouncil 22'!P90/'$$xSchpostCouncil 22'!P$123</f>
        <v>1.0000006218408266</v>
      </c>
      <c r="Q90" s="43">
        <f>'$$xSchpostCouncil 22'!Q90/'$$xSchpostCouncil 22'!Q$123</f>
        <v>0</v>
      </c>
      <c r="R90" s="43">
        <f>'$$xSchpostCouncil 22'!R90/'$$xSchpostCouncil 22'!R$123</f>
        <v>0</v>
      </c>
      <c r="S90" s="43">
        <f>'$$xSchpostCouncil 22'!S90/'$$xSchpostCouncil 22'!S$123</f>
        <v>0</v>
      </c>
      <c r="T90" s="43">
        <f>'$$xSchpostCouncil 22'!T90/'$$xSchpostCouncil 22'!T$123</f>
        <v>0</v>
      </c>
      <c r="U90" s="6"/>
      <c r="V90" s="6"/>
      <c r="W90" s="6"/>
      <c r="X90" s="6"/>
      <c r="Y90" s="43">
        <f>'$$xSchpostCouncil 22'!Y90/'$$xSchpostCouncil 22'!Y$123</f>
        <v>0</v>
      </c>
      <c r="Z90" s="43">
        <f>'$$xSchpostCouncil 22'!Z90/'$$xSchpostCouncil 22'!Z$123</f>
        <v>0</v>
      </c>
      <c r="AA90" s="43">
        <f>'$$xSchpostCouncil 22'!AA90/'$$xSchpostCouncil 22'!AA$123</f>
        <v>2</v>
      </c>
      <c r="AB90" s="43">
        <f>'$$xSchpostCouncil 22'!AB90/'$$xSchpostCouncil 22'!AB$123</f>
        <v>0</v>
      </c>
      <c r="AC90" s="6"/>
      <c r="AD90" s="6">
        <v>119795</v>
      </c>
      <c r="AE90" s="43">
        <f>'$$xSchpostCouncil 22'!AE90/'$$xSchpostCouncil 22'!AE$123</f>
        <v>1</v>
      </c>
      <c r="AF90" s="43">
        <f>'$$xSchpostCouncil 22'!AF90/'$$xSchpostCouncil 22'!AF$123</f>
        <v>1</v>
      </c>
      <c r="AG90" s="43">
        <f>'$$xSchpostCouncil 22'!AG90/'$$xSchpostCouncil 22'!AG$123</f>
        <v>7</v>
      </c>
      <c r="AH90" s="43">
        <f>'$$xSchpostCouncil 22'!AH90/'$$xSchpostCouncil 22'!AH$123</f>
        <v>0</v>
      </c>
      <c r="AI90" s="43">
        <f>'$$xSchpostCouncil 22'!AI90/'$$xSchpostCouncil 22'!AI$123</f>
        <v>0</v>
      </c>
      <c r="AJ90" s="43"/>
      <c r="AK90" s="43">
        <f>'$$xSchpostCouncil 22'!AK90/'$$xSchpostCouncil 22'!AK$123</f>
        <v>0</v>
      </c>
      <c r="AL90" s="43">
        <f>'$$xSchpostCouncil 22'!AL90/'$$xSchpostCouncil 22'!AL$123</f>
        <v>0</v>
      </c>
      <c r="AM90" s="6"/>
      <c r="AN90" s="6"/>
      <c r="AO90" s="43">
        <f>'$$xSchpostCouncil 22'!AO90/'$$xSchpostCouncil 22'!AO$123</f>
        <v>0</v>
      </c>
      <c r="AP90" s="43">
        <f>'$$xSchpostCouncil 22'!AP90/'$$xSchpostCouncil 22'!AP$123</f>
        <v>4.9996002451829544E-2</v>
      </c>
      <c r="AQ90" s="43">
        <f>'$$xSchpostCouncil 22'!AQ90/'$$xSchpostCouncil 22'!AQ$123</f>
        <v>0</v>
      </c>
      <c r="AR90" s="6"/>
      <c r="AS90" s="6"/>
      <c r="AT90" s="6"/>
      <c r="AU90" s="6"/>
      <c r="AV90" s="6">
        <v>60000</v>
      </c>
      <c r="AW90" s="6">
        <v>0</v>
      </c>
      <c r="AX90" s="6"/>
      <c r="AY90" s="6"/>
      <c r="AZ90" s="6">
        <v>312117.33999999997</v>
      </c>
      <c r="BA90" s="6"/>
      <c r="BB90" s="6"/>
      <c r="BC90" s="43">
        <f>'$$xSchpostCouncil 22'!BC90/'$$xSchpostCouncil 22'!BC$123</f>
        <v>0</v>
      </c>
      <c r="BD90" s="43">
        <f>'$$xSchpostCouncil 22'!BD90/'$$xSchpostCouncil 22'!BD$123</f>
        <v>1</v>
      </c>
      <c r="BE90" s="6">
        <v>14666</v>
      </c>
      <c r="BF90" s="6">
        <v>20550</v>
      </c>
      <c r="BG90" s="6">
        <v>26000</v>
      </c>
      <c r="BH90" s="43">
        <f>'$$xSchpostCouncil 22'!BH90/'$$xSchpostCouncil 22'!BH$123</f>
        <v>0</v>
      </c>
      <c r="BI90" s="6"/>
      <c r="BJ90" s="43">
        <f>'$$xSchpostCouncil 22'!BJ90/'$$xSchpostCouncil 22'!BJ$123</f>
        <v>0</v>
      </c>
      <c r="BK90" s="6"/>
      <c r="BL90" s="43">
        <f>'$$xSchpostCouncil 22'!BL90/'$$xSchpostCouncil 22'!BL$123</f>
        <v>0</v>
      </c>
      <c r="BM90" s="6"/>
      <c r="BN90" s="43">
        <f>'$$xSchpostCouncil 22'!BN90/'$$xSchpostCouncil 22'!BN$123</f>
        <v>0</v>
      </c>
      <c r="BO90" s="43">
        <f>'$$xSchpostCouncil 22'!BO90/'$$xSchpostCouncil 22'!BO$123</f>
        <v>0</v>
      </c>
      <c r="BP90" s="6"/>
      <c r="BQ90" s="6"/>
      <c r="BR90" s="6"/>
      <c r="BS90" s="6"/>
      <c r="BT90" s="6"/>
      <c r="BU90" s="43">
        <f>'$$xSchpostCouncil 22'!BU90/'$$xSchpostCouncil 22'!BU$123</f>
        <v>0</v>
      </c>
      <c r="BV90" s="43">
        <f>'$$xSchpostCouncil 22'!BV90/'$$xSchpostCouncil 22'!BV$123</f>
        <v>0</v>
      </c>
      <c r="BW90" s="43">
        <f>'$$xSchpostCouncil 22'!BW90/'$$xSchpostCouncil 22'!BW$123</f>
        <v>0</v>
      </c>
      <c r="BX90" s="6">
        <v>530469</v>
      </c>
      <c r="BY90" s="6"/>
      <c r="BZ90" s="6"/>
      <c r="CA90" s="6"/>
      <c r="CB90" s="6"/>
      <c r="CC90" s="6">
        <v>912937</v>
      </c>
      <c r="CD90" s="6"/>
      <c r="CE90" s="6"/>
      <c r="CF90" s="6">
        <v>56285</v>
      </c>
      <c r="CI90" s="43">
        <f>'$$xSchpostCouncil 22'!CI90/'$$xSchpostCouncil 22'!CI$123</f>
        <v>1</v>
      </c>
      <c r="CJ90" s="43">
        <f>'$$xSchpostCouncil 22'!CJ90/'$$xSchpostCouncil 22'!CJ$123</f>
        <v>0.69999808342224124</v>
      </c>
      <c r="CK90" s="43">
        <f>'$$xSchpostCouncil 22'!CK90/'$$xSchpostCouncil 22'!CK$123</f>
        <v>0.50000550182110282</v>
      </c>
      <c r="CL90" s="43">
        <f>'$$xSchpostCouncil 22'!CL90/'$$xSchpostCouncil 22'!CL$123</f>
        <v>0</v>
      </c>
      <c r="CM90" s="43">
        <f>'$$xSchpostCouncil 22'!CM90/'$$xSchpostCouncil 22'!CM$123</f>
        <v>1</v>
      </c>
      <c r="CN90" s="43">
        <f>'$$xSchpostCouncil 22'!CN90/'$$xSchpostCouncil 22'!CN$123</f>
        <v>1</v>
      </c>
      <c r="CO90" s="43">
        <f>'$$xSchpostCouncil 22'!CO90/'$$xSchpostCouncil 22'!CO$123</f>
        <v>0</v>
      </c>
      <c r="CP90" s="43">
        <f>'$$xSchpostCouncil 22'!CP90/'$$xSchpostCouncil 22'!CP$123</f>
        <v>0</v>
      </c>
      <c r="CQ90" s="43">
        <f>'$$xSchpostCouncil 22'!CQ90/'$$xSchpostCouncil 22'!CQ$123</f>
        <v>8.9999987563183481</v>
      </c>
      <c r="CR90" s="43">
        <f>'$$xSchpostCouncil 22'!CR90/'$$xSchpostCouncil 22'!CR$123</f>
        <v>0</v>
      </c>
      <c r="CS90" s="6"/>
      <c r="CT90" s="6"/>
      <c r="CU90" s="6"/>
      <c r="CV90" s="43">
        <f>'$$xSchpostCouncil 22'!CV90/'$$xSchpostCouncil 22'!CV$123</f>
        <v>1</v>
      </c>
      <c r="CW90" s="43">
        <f>'$$xSchpostCouncil 22'!CW90/'$$xSchpostCouncil 22'!CW$123</f>
        <v>0</v>
      </c>
      <c r="CX90" s="6">
        <v>0</v>
      </c>
      <c r="CY90" s="6"/>
      <c r="CZ90" s="6"/>
      <c r="DB90" s="43">
        <f>'$$xSchpostCouncil 22'!DB90/'$$xSchpostCouncil 22'!DB$123</f>
        <v>0</v>
      </c>
      <c r="DC90" s="43">
        <f>'$$xSchpostCouncil 22'!DC90/'$$xSchpostCouncil 22'!DC$123</f>
        <v>0</v>
      </c>
      <c r="DF90" s="43">
        <f>'$$xSchpostCouncil 22'!DF90/'$$xSchpostCouncil 22'!DF$123</f>
        <v>0</v>
      </c>
      <c r="DG90" s="43">
        <f>'$$xSchpostCouncil 22'!DG90/'$$xSchpostCouncil 22'!DG$123</f>
        <v>0</v>
      </c>
      <c r="DH90" s="43">
        <f>'$$xSchpostCouncil 22'!DH90/'$$xSchpostCouncil 22'!DH$123</f>
        <v>9.0599999999999987</v>
      </c>
      <c r="DI90" s="43">
        <f>'$$xSchpostCouncil 22'!DI90/'$$xSchpostCouncil 22'!DI$123</f>
        <v>0</v>
      </c>
      <c r="DJ90" s="43">
        <f>'$$xSchpostCouncil 22'!DJ90/'$$xSchpostCouncil 22'!DJ$123</f>
        <v>1</v>
      </c>
      <c r="DK90" s="43">
        <f>'$$xSchpostCouncil 22'!DK90/'$$xSchpostCouncil 22'!DK$123</f>
        <v>0</v>
      </c>
      <c r="DL90" s="6">
        <v>7612</v>
      </c>
      <c r="DM90" s="6"/>
      <c r="DN90" s="43">
        <f>'$$xSchpostCouncil 22'!DN90/'$$xSchpostCouncil 22'!DN$123</f>
        <v>1</v>
      </c>
      <c r="DO90" s="6"/>
      <c r="DP90" s="6">
        <v>13475</v>
      </c>
      <c r="DU90" s="6">
        <f>VLOOKUP($A90,[3]Totals!$B$2:$K$119,10,FALSE)</f>
        <v>118974.25</v>
      </c>
      <c r="DV90" s="6">
        <f>VLOOKUP($A90,[3]Totals!$B$2:$K$119,9,FALSE)</f>
        <v>134015</v>
      </c>
    </row>
    <row r="91" spans="1:126" x14ac:dyDescent="0.2">
      <c r="A91" s="3">
        <v>459</v>
      </c>
      <c r="B91" s="2" t="s">
        <v>37</v>
      </c>
      <c r="C91" t="s">
        <v>1</v>
      </c>
      <c r="D91">
        <v>4</v>
      </c>
      <c r="E91" s="1">
        <v>790</v>
      </c>
      <c r="F91" s="4">
        <v>0.72699999999999998</v>
      </c>
      <c r="G91">
        <v>574</v>
      </c>
      <c r="H91" s="43">
        <f>'$$xSchpostCouncil 22'!H91/'$$xSchpostCouncil 22'!H$123</f>
        <v>1</v>
      </c>
      <c r="I91" s="43">
        <f>'$$xSchpostCouncil 22'!I91/'$$xSchpostCouncil 22'!I$123</f>
        <v>0</v>
      </c>
      <c r="J91" s="43">
        <f>'$$xSchpostCouncil 22'!J91/'$$xSchpostCouncil 22'!J$123</f>
        <v>3.5</v>
      </c>
      <c r="K91" s="43">
        <f>'$$xSchpostCouncil 22'!K91/'$$xSchpostCouncil 22'!K$123</f>
        <v>1</v>
      </c>
      <c r="L91" s="6">
        <v>19264</v>
      </c>
      <c r="M91" s="43">
        <f>'$$xSchpostCouncil 22'!M91/'$$xSchpostCouncil 22'!M$123</f>
        <v>1</v>
      </c>
      <c r="N91" s="43">
        <f>'$$xSchpostCouncil 22'!N91/'$$xSchpostCouncil 22'!N$123</f>
        <v>1</v>
      </c>
      <c r="O91" s="43">
        <f>'$$xSchpostCouncil 22'!O91/'$$xSchpostCouncil 22'!O$123</f>
        <v>8</v>
      </c>
      <c r="P91" s="43">
        <f>'$$xSchpostCouncil 22'!P91/'$$xSchpostCouncil 22'!P$123</f>
        <v>1.0000006218408266</v>
      </c>
      <c r="Q91" s="43">
        <f>'$$xSchpostCouncil 22'!Q91/'$$xSchpostCouncil 22'!Q$123</f>
        <v>0</v>
      </c>
      <c r="R91" s="43">
        <f>'$$xSchpostCouncil 22'!R91/'$$xSchpostCouncil 22'!R$123</f>
        <v>0</v>
      </c>
      <c r="S91" s="43">
        <f>'$$xSchpostCouncil 22'!S91/'$$xSchpostCouncil 22'!S$123</f>
        <v>0</v>
      </c>
      <c r="T91" s="43">
        <f>'$$xSchpostCouncil 22'!T91/'$$xSchpostCouncil 22'!T$123</f>
        <v>0</v>
      </c>
      <c r="U91" s="6"/>
      <c r="V91" s="6"/>
      <c r="W91" s="6"/>
      <c r="X91" s="6"/>
      <c r="Y91" s="43">
        <f>'$$xSchpostCouncil 22'!Y91/'$$xSchpostCouncil 22'!Y$123</f>
        <v>0</v>
      </c>
      <c r="Z91" s="43">
        <f>'$$xSchpostCouncil 22'!Z91/'$$xSchpostCouncil 22'!Z$123</f>
        <v>0</v>
      </c>
      <c r="AA91" s="43">
        <f>'$$xSchpostCouncil 22'!AA91/'$$xSchpostCouncil 22'!AA$123</f>
        <v>2</v>
      </c>
      <c r="AB91" s="43">
        <f>'$$xSchpostCouncil 22'!AB91/'$$xSchpostCouncil 22'!AB$123</f>
        <v>0</v>
      </c>
      <c r="AC91" s="6"/>
      <c r="AD91" s="6">
        <v>361282</v>
      </c>
      <c r="AE91" s="43">
        <f>'$$xSchpostCouncil 22'!AE91/'$$xSchpostCouncil 22'!AE$123</f>
        <v>2</v>
      </c>
      <c r="AF91" s="43">
        <f>'$$xSchpostCouncil 22'!AF91/'$$xSchpostCouncil 22'!AF$123</f>
        <v>4</v>
      </c>
      <c r="AG91" s="43">
        <f>'$$xSchpostCouncil 22'!AG91/'$$xSchpostCouncil 22'!AG$123</f>
        <v>15</v>
      </c>
      <c r="AH91" s="43">
        <f>'$$xSchpostCouncil 22'!AH91/'$$xSchpostCouncil 22'!AH$123</f>
        <v>0</v>
      </c>
      <c r="AI91" s="43">
        <f>'$$xSchpostCouncil 22'!AI91/'$$xSchpostCouncil 22'!AI$123</f>
        <v>7</v>
      </c>
      <c r="AJ91" s="43"/>
      <c r="AK91" s="43">
        <f>'$$xSchpostCouncil 22'!AK91/'$$xSchpostCouncil 22'!AK$123</f>
        <v>1</v>
      </c>
      <c r="AL91" s="43">
        <f>'$$xSchpostCouncil 22'!AL91/'$$xSchpostCouncil 22'!AL$123</f>
        <v>0</v>
      </c>
      <c r="AM91" s="6"/>
      <c r="AN91" s="6"/>
      <c r="AO91" s="43">
        <f>'$$xSchpostCouncil 22'!AO91/'$$xSchpostCouncil 22'!AO$123</f>
        <v>16</v>
      </c>
      <c r="AP91" s="43">
        <f>'$$xSchpostCouncil 22'!AP91/'$$xSchpostCouncil 22'!AP$123</f>
        <v>0</v>
      </c>
      <c r="AQ91" s="43">
        <f>'$$xSchpostCouncil 22'!AQ91/'$$xSchpostCouncil 22'!AQ$123</f>
        <v>2</v>
      </c>
      <c r="AR91" s="6"/>
      <c r="AS91" s="6"/>
      <c r="AT91" s="6"/>
      <c r="AU91" s="6"/>
      <c r="AV91" s="6">
        <v>75000</v>
      </c>
      <c r="AW91" s="6">
        <v>0</v>
      </c>
      <c r="AX91" s="6"/>
      <c r="AY91" s="6"/>
      <c r="AZ91" s="6">
        <v>471867.19</v>
      </c>
      <c r="BA91" s="6"/>
      <c r="BB91" s="6"/>
      <c r="BC91" s="43">
        <f>'$$xSchpostCouncil 22'!BC91/'$$xSchpostCouncil 22'!BC$123</f>
        <v>0</v>
      </c>
      <c r="BD91" s="43">
        <f>'$$xSchpostCouncil 22'!BD91/'$$xSchpostCouncil 22'!BD$123</f>
        <v>1</v>
      </c>
      <c r="BE91" s="6">
        <v>25216</v>
      </c>
      <c r="BF91" s="6">
        <v>10000</v>
      </c>
      <c r="BG91" s="6">
        <v>32000</v>
      </c>
      <c r="BH91" s="43">
        <f>'$$xSchpostCouncil 22'!BH91/'$$xSchpostCouncil 22'!BH$123</f>
        <v>0</v>
      </c>
      <c r="BI91" s="6"/>
      <c r="BJ91" s="43">
        <f>'$$xSchpostCouncil 22'!BJ91/'$$xSchpostCouncil 22'!BJ$123</f>
        <v>1</v>
      </c>
      <c r="BK91" s="6"/>
      <c r="BL91" s="43">
        <f>'$$xSchpostCouncil 22'!BL91/'$$xSchpostCouncil 22'!BL$123</f>
        <v>0</v>
      </c>
      <c r="BM91" s="6"/>
      <c r="BN91" s="43">
        <f>'$$xSchpostCouncil 22'!BN91/'$$xSchpostCouncil 22'!BN$123</f>
        <v>1</v>
      </c>
      <c r="BO91" s="43">
        <f>'$$xSchpostCouncil 22'!BO91/'$$xSchpostCouncil 22'!BO$123</f>
        <v>0</v>
      </c>
      <c r="BP91" s="6">
        <v>113946</v>
      </c>
      <c r="BQ91" s="6">
        <v>5000</v>
      </c>
      <c r="BR91" s="6"/>
      <c r="BS91" s="6"/>
      <c r="BT91" s="6"/>
      <c r="BU91" s="43">
        <f>'$$xSchpostCouncil 22'!BU91/'$$xSchpostCouncil 22'!BU$123</f>
        <v>2.6315789473684209E-2</v>
      </c>
      <c r="BV91" s="43">
        <f>'$$xSchpostCouncil 22'!BV91/'$$xSchpostCouncil 22'!BV$123</f>
        <v>0</v>
      </c>
      <c r="BW91" s="43">
        <f>'$$xSchpostCouncil 22'!BW91/'$$xSchpostCouncil 22'!BW$123</f>
        <v>0</v>
      </c>
      <c r="BX91" s="6">
        <v>1611054</v>
      </c>
      <c r="BY91" s="6"/>
      <c r="BZ91" s="6"/>
      <c r="CA91" s="6"/>
      <c r="CB91" s="6"/>
      <c r="CC91" s="6"/>
      <c r="CD91" s="6"/>
      <c r="CE91" s="6"/>
      <c r="CF91" s="6">
        <v>56285</v>
      </c>
      <c r="CI91" s="43">
        <f>'$$xSchpostCouncil 22'!CI91/'$$xSchpostCouncil 22'!CI$123</f>
        <v>1</v>
      </c>
      <c r="CJ91" s="43">
        <f>'$$xSchpostCouncil 22'!CJ91/'$$xSchpostCouncil 22'!CJ$123</f>
        <v>2.5999974445629883</v>
      </c>
      <c r="CK91" s="43">
        <f>'$$xSchpostCouncil 22'!CK91/'$$xSchpostCouncil 22'!CK$123</f>
        <v>1</v>
      </c>
      <c r="CL91" s="43">
        <f>'$$xSchpostCouncil 22'!CL91/'$$xSchpostCouncil 22'!CL$123</f>
        <v>2</v>
      </c>
      <c r="CM91" s="43">
        <f>'$$xSchpostCouncil 22'!CM91/'$$xSchpostCouncil 22'!CM$123</f>
        <v>1</v>
      </c>
      <c r="CN91" s="43">
        <f>'$$xSchpostCouncil 22'!CN91/'$$xSchpostCouncil 22'!CN$123</f>
        <v>1</v>
      </c>
      <c r="CO91" s="43">
        <f>'$$xSchpostCouncil 22'!CO91/'$$xSchpostCouncil 22'!CO$123</f>
        <v>0</v>
      </c>
      <c r="CP91" s="43">
        <f>'$$xSchpostCouncil 22'!CP91/'$$xSchpostCouncil 22'!CP$123</f>
        <v>0</v>
      </c>
      <c r="CQ91" s="43">
        <f>'$$xSchpostCouncil 22'!CQ91/'$$xSchpostCouncil 22'!CQ$123</f>
        <v>32.91666640016345</v>
      </c>
      <c r="CR91" s="43">
        <f>'$$xSchpostCouncil 22'!CR91/'$$xSchpostCouncil 22'!CR$123</f>
        <v>0</v>
      </c>
      <c r="CS91" s="6"/>
      <c r="CT91" s="6"/>
      <c r="CU91" s="6"/>
      <c r="CV91" s="43">
        <f>'$$xSchpostCouncil 22'!CV91/'$$xSchpostCouncil 22'!CV$123</f>
        <v>1</v>
      </c>
      <c r="CW91" s="43">
        <f>'$$xSchpostCouncil 22'!CW91/'$$xSchpostCouncil 22'!CW$123</f>
        <v>0</v>
      </c>
      <c r="CX91" s="6">
        <v>0</v>
      </c>
      <c r="CY91" s="6">
        <v>75000</v>
      </c>
      <c r="CZ91" s="6"/>
      <c r="DB91" s="43">
        <f>'$$xSchpostCouncil 22'!DB91/'$$xSchpostCouncil 22'!DB$123</f>
        <v>0</v>
      </c>
      <c r="DC91" s="43">
        <f>'$$xSchpostCouncil 22'!DC91/'$$xSchpostCouncil 22'!DC$123</f>
        <v>3</v>
      </c>
      <c r="DF91" s="43">
        <f>'$$xSchpostCouncil 22'!DF91/'$$xSchpostCouncil 22'!DF$123</f>
        <v>0</v>
      </c>
      <c r="DG91" s="43">
        <f>'$$xSchpostCouncil 22'!DG91/'$$xSchpostCouncil 22'!DG$123</f>
        <v>0</v>
      </c>
      <c r="DH91" s="43">
        <f>'$$xSchpostCouncil 22'!DH91/'$$xSchpostCouncil 22'!DH$123</f>
        <v>6.9533333333333331</v>
      </c>
      <c r="DI91" s="43">
        <f>'$$xSchpostCouncil 22'!DI91/'$$xSchpostCouncil 22'!DI$123</f>
        <v>0</v>
      </c>
      <c r="DJ91" s="43">
        <f>'$$xSchpostCouncil 22'!DJ91/'$$xSchpostCouncil 22'!DJ$123</f>
        <v>0</v>
      </c>
      <c r="DK91" s="43">
        <f>'$$xSchpostCouncil 22'!DK91/'$$xSchpostCouncil 22'!DK$123</f>
        <v>0</v>
      </c>
      <c r="DL91" s="6">
        <v>11508</v>
      </c>
      <c r="DM91" s="6"/>
      <c r="DN91" s="43">
        <f>'$$xSchpostCouncil 22'!DN91/'$$xSchpostCouncil 22'!DN$123</f>
        <v>1</v>
      </c>
      <c r="DO91" s="6"/>
      <c r="DP91" s="6">
        <v>40125</v>
      </c>
      <c r="DU91" s="6">
        <f>VLOOKUP($A91,[3]Totals!$B$2:$K$119,10,FALSE)</f>
        <v>427087.38</v>
      </c>
      <c r="DV91" s="6">
        <f>VLOOKUP($A91,[3]Totals!$B$2:$K$119,9,FALSE)</f>
        <v>112569</v>
      </c>
    </row>
    <row r="92" spans="1:126" x14ac:dyDescent="0.2">
      <c r="A92" s="3">
        <v>456</v>
      </c>
      <c r="B92" s="2" t="s">
        <v>36</v>
      </c>
      <c r="C92" t="s">
        <v>35</v>
      </c>
      <c r="D92">
        <v>4</v>
      </c>
      <c r="E92" s="1">
        <v>695</v>
      </c>
      <c r="F92" s="4">
        <v>0</v>
      </c>
      <c r="G92">
        <v>0</v>
      </c>
      <c r="H92" s="43">
        <f>'$$xSchpostCouncil 22'!H92/'$$xSchpostCouncil 22'!H$123</f>
        <v>1</v>
      </c>
      <c r="I92" s="43">
        <f>'$$xSchpostCouncil 22'!I92/'$$xSchpostCouncil 22'!I$123</f>
        <v>0</v>
      </c>
      <c r="J92" s="43">
        <f>'$$xSchpostCouncil 22'!J92/'$$xSchpostCouncil 22'!J$123</f>
        <v>2.5</v>
      </c>
      <c r="K92" s="43">
        <f>'$$xSchpostCouncil 22'!K92/'$$xSchpostCouncil 22'!K$123</f>
        <v>1</v>
      </c>
      <c r="L92" s="6">
        <v>6924</v>
      </c>
      <c r="M92" s="43">
        <f>'$$xSchpostCouncil 22'!M92/'$$xSchpostCouncil 22'!M$123</f>
        <v>1</v>
      </c>
      <c r="N92" s="43">
        <f>'$$xSchpostCouncil 22'!N92/'$$xSchpostCouncil 22'!N$123</f>
        <v>1</v>
      </c>
      <c r="O92" s="43">
        <f>'$$xSchpostCouncil 22'!O92/'$$xSchpostCouncil 22'!O$123</f>
        <v>1</v>
      </c>
      <c r="P92" s="43">
        <f>'$$xSchpostCouncil 22'!P92/'$$xSchpostCouncil 22'!P$123</f>
        <v>1.0000006218408266</v>
      </c>
      <c r="Q92" s="43">
        <f>'$$xSchpostCouncil 22'!Q92/'$$xSchpostCouncil 22'!Q$123</f>
        <v>0</v>
      </c>
      <c r="R92" s="43">
        <f>'$$xSchpostCouncil 22'!R92/'$$xSchpostCouncil 22'!R$123</f>
        <v>0</v>
      </c>
      <c r="S92" s="43">
        <f>'$$xSchpostCouncil 22'!S92/'$$xSchpostCouncil 22'!S$123</f>
        <v>0</v>
      </c>
      <c r="T92" s="43">
        <f>'$$xSchpostCouncil 22'!T92/'$$xSchpostCouncil 22'!T$123</f>
        <v>0</v>
      </c>
      <c r="U92" s="6"/>
      <c r="V92" s="6"/>
      <c r="W92" s="6"/>
      <c r="X92" s="6"/>
      <c r="Y92" s="43">
        <f>'$$xSchpostCouncil 22'!Y92/'$$xSchpostCouncil 22'!Y$123</f>
        <v>0</v>
      </c>
      <c r="Z92" s="43">
        <f>'$$xSchpostCouncil 22'!Z92/'$$xSchpostCouncil 22'!Z$123</f>
        <v>0</v>
      </c>
      <c r="AA92" s="43">
        <f>'$$xSchpostCouncil 22'!AA92/'$$xSchpostCouncil 22'!AA$123</f>
        <v>0</v>
      </c>
      <c r="AB92" s="43">
        <f>'$$xSchpostCouncil 22'!AB92/'$$xSchpostCouncil 22'!AB$123</f>
        <v>0</v>
      </c>
      <c r="AC92" s="6"/>
      <c r="AD92" s="6">
        <v>258374</v>
      </c>
      <c r="AE92" s="43">
        <f>'$$xSchpostCouncil 22'!AE92/'$$xSchpostCouncil 22'!AE$123</f>
        <v>1</v>
      </c>
      <c r="AF92" s="43">
        <f>'$$xSchpostCouncil 22'!AF92/'$$xSchpostCouncil 22'!AF$123</f>
        <v>2</v>
      </c>
      <c r="AG92" s="43">
        <f>'$$xSchpostCouncil 22'!AG92/'$$xSchpostCouncil 22'!AG$123</f>
        <v>10</v>
      </c>
      <c r="AH92" s="43">
        <f>'$$xSchpostCouncil 22'!AH92/'$$xSchpostCouncil 22'!AH$123</f>
        <v>0</v>
      </c>
      <c r="AI92" s="43">
        <f>'$$xSchpostCouncil 22'!AI92/'$$xSchpostCouncil 22'!AI$123</f>
        <v>0</v>
      </c>
      <c r="AJ92" s="43"/>
      <c r="AK92" s="43">
        <f>'$$xSchpostCouncil 22'!AK92/'$$xSchpostCouncil 22'!AK$123</f>
        <v>0</v>
      </c>
      <c r="AL92" s="43">
        <f>'$$xSchpostCouncil 22'!AL92/'$$xSchpostCouncil 22'!AL$123</f>
        <v>0</v>
      </c>
      <c r="AM92" s="6"/>
      <c r="AN92" s="6"/>
      <c r="AO92" s="43">
        <f>'$$xSchpostCouncil 22'!AO92/'$$xSchpostCouncil 22'!AO$123</f>
        <v>8</v>
      </c>
      <c r="AP92" s="43">
        <f>'$$xSchpostCouncil 22'!AP92/'$$xSchpostCouncil 22'!AP$123</f>
        <v>0</v>
      </c>
      <c r="AQ92" s="43">
        <f>'$$xSchpostCouncil 22'!AQ92/'$$xSchpostCouncil 22'!AQ$123</f>
        <v>0</v>
      </c>
      <c r="AR92" s="6"/>
      <c r="AS92" s="6"/>
      <c r="AT92" s="6"/>
      <c r="AU92" s="6"/>
      <c r="AV92" s="6">
        <v>70000</v>
      </c>
      <c r="AW92" s="6">
        <v>0</v>
      </c>
      <c r="AX92" s="6"/>
      <c r="AY92" s="6"/>
      <c r="AZ92" s="6">
        <v>0</v>
      </c>
      <c r="BA92" s="6"/>
      <c r="BB92" s="6">
        <v>17375</v>
      </c>
      <c r="BC92" s="43">
        <f>'$$xSchpostCouncil 22'!BC92/'$$xSchpostCouncil 22'!BC$123</f>
        <v>0</v>
      </c>
      <c r="BD92" s="43">
        <f>'$$xSchpostCouncil 22'!BD92/'$$xSchpostCouncil 22'!BD$123</f>
        <v>0</v>
      </c>
      <c r="BE92" s="6"/>
      <c r="BF92" s="6"/>
      <c r="BG92" s="6"/>
      <c r="BH92" s="43">
        <f>'$$xSchpostCouncil 22'!BH92/'$$xSchpostCouncil 22'!BH$123</f>
        <v>0</v>
      </c>
      <c r="BI92" s="6"/>
      <c r="BJ92" s="43">
        <f>'$$xSchpostCouncil 22'!BJ92/'$$xSchpostCouncil 22'!BJ$123</f>
        <v>0</v>
      </c>
      <c r="BK92" s="6"/>
      <c r="BL92" s="43">
        <f>'$$xSchpostCouncil 22'!BL92/'$$xSchpostCouncil 22'!BL$123</f>
        <v>0</v>
      </c>
      <c r="BM92" s="6"/>
      <c r="BN92" s="43">
        <f>'$$xSchpostCouncil 22'!BN92/'$$xSchpostCouncil 22'!BN$123</f>
        <v>0</v>
      </c>
      <c r="BO92" s="43">
        <f>'$$xSchpostCouncil 22'!BO92/'$$xSchpostCouncil 22'!BO$123</f>
        <v>0</v>
      </c>
      <c r="BP92" s="6"/>
      <c r="BQ92" s="6"/>
      <c r="BR92" s="6"/>
      <c r="BS92" s="6"/>
      <c r="BT92" s="6"/>
      <c r="BU92" s="43">
        <f>'$$xSchpostCouncil 22'!BU92/'$$xSchpostCouncil 22'!BU$123</f>
        <v>0</v>
      </c>
      <c r="BV92" s="43">
        <f>'$$xSchpostCouncil 22'!BV92/'$$xSchpostCouncil 22'!BV$123</f>
        <v>0</v>
      </c>
      <c r="BW92" s="43">
        <f>'$$xSchpostCouncil 22'!BW92/'$$xSchpostCouncil 22'!BW$123</f>
        <v>0</v>
      </c>
      <c r="BX92" s="6">
        <v>0</v>
      </c>
      <c r="BY92" s="6"/>
      <c r="BZ92" s="6"/>
      <c r="CA92" s="6"/>
      <c r="CB92" s="6"/>
      <c r="CC92" s="6">
        <v>29156</v>
      </c>
      <c r="CD92" s="6"/>
      <c r="CE92" s="6">
        <v>112569</v>
      </c>
      <c r="CF92" s="6">
        <v>0</v>
      </c>
      <c r="CI92" s="43">
        <f>'$$xSchpostCouncil 22'!CI92/'$$xSchpostCouncil 22'!CI$123</f>
        <v>1</v>
      </c>
      <c r="CJ92" s="43">
        <f>'$$xSchpostCouncil 22'!CJ92/'$$xSchpostCouncil 22'!CJ$123</f>
        <v>1</v>
      </c>
      <c r="CK92" s="43">
        <f>'$$xSchpostCouncil 22'!CK92/'$$xSchpostCouncil 22'!CK$123</f>
        <v>1</v>
      </c>
      <c r="CL92" s="43">
        <f>'$$xSchpostCouncil 22'!CL92/'$$xSchpostCouncil 22'!CL$123</f>
        <v>1.6999940757123957</v>
      </c>
      <c r="CM92" s="43">
        <f>'$$xSchpostCouncil 22'!CM92/'$$xSchpostCouncil 22'!CM$123</f>
        <v>0</v>
      </c>
      <c r="CN92" s="43">
        <f>'$$xSchpostCouncil 22'!CN92/'$$xSchpostCouncil 22'!CN$123</f>
        <v>1</v>
      </c>
      <c r="CO92" s="43">
        <f>'$$xSchpostCouncil 22'!CO92/'$$xSchpostCouncil 22'!CO$123</f>
        <v>0</v>
      </c>
      <c r="CP92" s="43">
        <f>'$$xSchpostCouncil 22'!CP92/'$$xSchpostCouncil 22'!CP$123</f>
        <v>0</v>
      </c>
      <c r="CQ92" s="43">
        <f>'$$xSchpostCouncil 22'!CQ92/'$$xSchpostCouncil 22'!CQ$123</f>
        <v>25.629995824783023</v>
      </c>
      <c r="CR92" s="43">
        <f>'$$xSchpostCouncil 22'!CR92/'$$xSchpostCouncil 22'!CR$123</f>
        <v>0</v>
      </c>
      <c r="CS92" s="6"/>
      <c r="CT92" s="6"/>
      <c r="CU92" s="6"/>
      <c r="CV92" s="43">
        <f>'$$xSchpostCouncil 22'!CV92/'$$xSchpostCouncil 22'!CV$123</f>
        <v>0</v>
      </c>
      <c r="CW92" s="43">
        <f>'$$xSchpostCouncil 22'!CW92/'$$xSchpostCouncil 22'!CW$123</f>
        <v>0</v>
      </c>
      <c r="CX92" s="6">
        <v>0</v>
      </c>
      <c r="CY92" s="6">
        <v>75000</v>
      </c>
      <c r="CZ92" s="6"/>
      <c r="DB92" s="43">
        <f>'$$xSchpostCouncil 22'!DB92/'$$xSchpostCouncil 22'!DB$123</f>
        <v>0</v>
      </c>
      <c r="DC92" s="43">
        <f>'$$xSchpostCouncil 22'!DC92/'$$xSchpostCouncil 22'!DC$123</f>
        <v>2</v>
      </c>
      <c r="DF92" s="43">
        <f>'$$xSchpostCouncil 22'!DF92/'$$xSchpostCouncil 22'!DF$123</f>
        <v>0</v>
      </c>
      <c r="DG92" s="43">
        <f>'$$xSchpostCouncil 22'!DG92/'$$xSchpostCouncil 22'!DG$123</f>
        <v>0</v>
      </c>
      <c r="DH92" s="43">
        <f>'$$xSchpostCouncil 22'!DH92/'$$xSchpostCouncil 22'!DH$123</f>
        <v>0</v>
      </c>
      <c r="DI92" s="43">
        <f>'$$xSchpostCouncil 22'!DI92/'$$xSchpostCouncil 22'!DI$123</f>
        <v>0</v>
      </c>
      <c r="DJ92" s="43">
        <f>'$$xSchpostCouncil 22'!DJ92/'$$xSchpostCouncil 22'!DJ$123</f>
        <v>0</v>
      </c>
      <c r="DK92" s="43">
        <f>'$$xSchpostCouncil 22'!DK92/'$$xSchpostCouncil 22'!DK$123</f>
        <v>0</v>
      </c>
      <c r="DL92" s="6"/>
      <c r="DM92" s="6">
        <v>5225</v>
      </c>
      <c r="DN92" s="43">
        <f>'$$xSchpostCouncil 22'!DN92/'$$xSchpostCouncil 22'!DN$123</f>
        <v>1</v>
      </c>
      <c r="DO92" s="6"/>
      <c r="DP92" s="6"/>
      <c r="DU92" s="6">
        <f>VLOOKUP($A92,[3]Totals!$B$2:$K$119,10,FALSE)</f>
        <v>408869.2</v>
      </c>
      <c r="DV92" s="6">
        <f>VLOOKUP($A92,[3]Totals!$B$2:$K$119,9,FALSE)</f>
        <v>366836.5</v>
      </c>
    </row>
    <row r="93" spans="1:126" x14ac:dyDescent="0.2">
      <c r="A93" s="3">
        <v>305</v>
      </c>
      <c r="B93" s="2" t="s">
        <v>33</v>
      </c>
      <c r="C93" t="s">
        <v>7</v>
      </c>
      <c r="D93">
        <v>2</v>
      </c>
      <c r="E93" s="1">
        <v>181</v>
      </c>
      <c r="F93" s="4">
        <v>2.1999999999999999E-2</v>
      </c>
      <c r="G93">
        <v>4</v>
      </c>
      <c r="H93" s="43">
        <f>'$$xSchpostCouncil 22'!H93/'$$xSchpostCouncil 22'!H$123</f>
        <v>1</v>
      </c>
      <c r="I93" s="43">
        <f>'$$xSchpostCouncil 22'!I93/'$$xSchpostCouncil 22'!I$123</f>
        <v>0</v>
      </c>
      <c r="J93" s="43">
        <f>'$$xSchpostCouncil 22'!J93/'$$xSchpostCouncil 22'!J$123</f>
        <v>0</v>
      </c>
      <c r="K93" s="43">
        <f>'$$xSchpostCouncil 22'!K93/'$$xSchpostCouncil 22'!K$123</f>
        <v>1</v>
      </c>
      <c r="L93" s="6">
        <v>3608</v>
      </c>
      <c r="M93" s="43">
        <f>'$$xSchpostCouncil 22'!M93/'$$xSchpostCouncil 22'!M$123</f>
        <v>1</v>
      </c>
      <c r="N93" s="43">
        <f>'$$xSchpostCouncil 22'!N93/'$$xSchpostCouncil 22'!N$123</f>
        <v>1</v>
      </c>
      <c r="O93" s="43">
        <f>'$$xSchpostCouncil 22'!O93/'$$xSchpostCouncil 22'!O$123</f>
        <v>1</v>
      </c>
      <c r="P93" s="43">
        <f>'$$xSchpostCouncil 22'!P93/'$$xSchpostCouncil 22'!P$123</f>
        <v>1.0000006218408266</v>
      </c>
      <c r="Q93" s="43">
        <f>'$$xSchpostCouncil 22'!Q93/'$$xSchpostCouncil 22'!Q$123</f>
        <v>0</v>
      </c>
      <c r="R93" s="43">
        <f>'$$xSchpostCouncil 22'!R93/'$$xSchpostCouncil 22'!R$123</f>
        <v>0</v>
      </c>
      <c r="S93" s="43">
        <f>'$$xSchpostCouncil 22'!S93/'$$xSchpostCouncil 22'!S$123</f>
        <v>1</v>
      </c>
      <c r="T93" s="43">
        <f>'$$xSchpostCouncil 22'!T93/'$$xSchpostCouncil 22'!T$123</f>
        <v>1</v>
      </c>
      <c r="U93" s="6"/>
      <c r="V93" s="6"/>
      <c r="W93" s="6"/>
      <c r="X93" s="6"/>
      <c r="Y93" s="43">
        <f>'$$xSchpostCouncil 22'!Y93/'$$xSchpostCouncil 22'!Y$123</f>
        <v>0</v>
      </c>
      <c r="Z93" s="43">
        <f>'$$xSchpostCouncil 22'!Z93/'$$xSchpostCouncil 22'!Z$123</f>
        <v>0</v>
      </c>
      <c r="AA93" s="43">
        <f>'$$xSchpostCouncil 22'!AA93/'$$xSchpostCouncil 22'!AA$123</f>
        <v>0</v>
      </c>
      <c r="AB93" s="43">
        <f>'$$xSchpostCouncil 22'!AB93/'$$xSchpostCouncil 22'!AB$123</f>
        <v>0</v>
      </c>
      <c r="AC93" s="6"/>
      <c r="AD93" s="6">
        <v>74399</v>
      </c>
      <c r="AE93" s="43">
        <f>'$$xSchpostCouncil 22'!AE93/'$$xSchpostCouncil 22'!AE$123</f>
        <v>1</v>
      </c>
      <c r="AF93" s="43">
        <f>'$$xSchpostCouncil 22'!AF93/'$$xSchpostCouncil 22'!AF$123</f>
        <v>1</v>
      </c>
      <c r="AG93" s="43">
        <f>'$$xSchpostCouncil 22'!AG93/'$$xSchpostCouncil 22'!AG$123</f>
        <v>2</v>
      </c>
      <c r="AH93" s="43">
        <f>'$$xSchpostCouncil 22'!AH93/'$$xSchpostCouncil 22'!AH$123</f>
        <v>0</v>
      </c>
      <c r="AI93" s="43">
        <f>'$$xSchpostCouncil 22'!AI93/'$$xSchpostCouncil 22'!AI$123</f>
        <v>0</v>
      </c>
      <c r="AJ93" s="43"/>
      <c r="AK93" s="43">
        <f>'$$xSchpostCouncil 22'!AK93/'$$xSchpostCouncil 22'!AK$123</f>
        <v>0</v>
      </c>
      <c r="AL93" s="43">
        <f>'$$xSchpostCouncil 22'!AL93/'$$xSchpostCouncil 22'!AL$123</f>
        <v>0</v>
      </c>
      <c r="AM93" s="6"/>
      <c r="AN93" s="6"/>
      <c r="AO93" s="43">
        <f>'$$xSchpostCouncil 22'!AO93/'$$xSchpostCouncil 22'!AO$123</f>
        <v>2</v>
      </c>
      <c r="AP93" s="43">
        <f>'$$xSchpostCouncil 22'!AP93/'$$xSchpostCouncil 22'!AP$123</f>
        <v>0</v>
      </c>
      <c r="AQ93" s="43">
        <f>'$$xSchpostCouncil 22'!AQ93/'$$xSchpostCouncil 22'!AQ$123</f>
        <v>0</v>
      </c>
      <c r="AR93" s="6"/>
      <c r="AS93" s="6"/>
      <c r="AT93" s="6"/>
      <c r="AU93" s="6"/>
      <c r="AV93" s="6"/>
      <c r="AW93" s="6">
        <v>0</v>
      </c>
      <c r="AX93" s="6"/>
      <c r="AY93" s="6"/>
      <c r="AZ93" s="6">
        <v>4525</v>
      </c>
      <c r="BA93" s="6"/>
      <c r="BC93" s="43">
        <f>'$$xSchpostCouncil 22'!BC93/'$$xSchpostCouncil 22'!BC$123</f>
        <v>0</v>
      </c>
      <c r="BD93" s="43">
        <f>'$$xSchpostCouncil 22'!BD93/'$$xSchpostCouncil 22'!BD$123</f>
        <v>0</v>
      </c>
      <c r="BE93" s="6"/>
      <c r="BF93" s="6"/>
      <c r="BG93" s="6"/>
      <c r="BH93" s="43">
        <f>'$$xSchpostCouncil 22'!BH93/'$$xSchpostCouncil 22'!BH$123</f>
        <v>0</v>
      </c>
      <c r="BI93" s="6"/>
      <c r="BJ93" s="43">
        <f>'$$xSchpostCouncil 22'!BJ93/'$$xSchpostCouncil 22'!BJ$123</f>
        <v>0</v>
      </c>
      <c r="BK93" s="6"/>
      <c r="BL93" s="43">
        <f>'$$xSchpostCouncil 22'!BL93/'$$xSchpostCouncil 22'!BL$123</f>
        <v>0</v>
      </c>
      <c r="BM93" s="6"/>
      <c r="BN93" s="43">
        <f>'$$xSchpostCouncil 22'!BN93/'$$xSchpostCouncil 22'!BN$123</f>
        <v>0</v>
      </c>
      <c r="BO93" s="43">
        <f>'$$xSchpostCouncil 22'!BO93/'$$xSchpostCouncil 22'!BO$123</f>
        <v>0</v>
      </c>
      <c r="BP93" s="6"/>
      <c r="BQ93" s="6"/>
      <c r="BR93" s="6"/>
      <c r="BS93" s="6"/>
      <c r="BT93" s="6"/>
      <c r="BU93" s="43">
        <f>'$$xSchpostCouncil 22'!BU93/'$$xSchpostCouncil 22'!BU$123</f>
        <v>0</v>
      </c>
      <c r="BV93" s="43">
        <f>'$$xSchpostCouncil 22'!BV93/'$$xSchpostCouncil 22'!BV$123</f>
        <v>0</v>
      </c>
      <c r="BW93" s="43">
        <f>'$$xSchpostCouncil 22'!BW93/'$$xSchpostCouncil 22'!BW$123</f>
        <v>0</v>
      </c>
      <c r="BX93" s="6">
        <v>10126</v>
      </c>
      <c r="BY93" s="6"/>
      <c r="BZ93" s="6"/>
      <c r="CA93" s="6"/>
      <c r="CB93" s="6"/>
      <c r="CC93" s="6"/>
      <c r="CD93" s="6"/>
      <c r="CE93" s="6"/>
      <c r="CF93" s="6">
        <v>56285</v>
      </c>
      <c r="CI93" s="43">
        <f>'$$xSchpostCouncil 22'!CI93/'$$xSchpostCouncil 22'!CI$123</f>
        <v>1</v>
      </c>
      <c r="CJ93" s="43">
        <f>'$$xSchpostCouncil 22'!CJ93/'$$xSchpostCouncil 22'!CJ$123</f>
        <v>0</v>
      </c>
      <c r="CK93" s="43">
        <f>'$$xSchpostCouncil 22'!CK93/'$$xSchpostCouncil 22'!CK$123</f>
        <v>0.50000550182110282</v>
      </c>
      <c r="CL93" s="43">
        <f>'$$xSchpostCouncil 22'!CL93/'$$xSchpostCouncil 22'!CL$123</f>
        <v>0</v>
      </c>
      <c r="CM93" s="43">
        <f>'$$xSchpostCouncil 22'!CM93/'$$xSchpostCouncil 22'!CM$123</f>
        <v>0</v>
      </c>
      <c r="CN93" s="43">
        <f>'$$xSchpostCouncil 22'!CN93/'$$xSchpostCouncil 22'!CN$123</f>
        <v>0</v>
      </c>
      <c r="CO93" s="43">
        <f>'$$xSchpostCouncil 22'!CO93/'$$xSchpostCouncil 22'!CO$123</f>
        <v>3</v>
      </c>
      <c r="CP93" s="43">
        <f>'$$xSchpostCouncil 22'!CP93/'$$xSchpostCouncil 22'!CP$123</f>
        <v>2</v>
      </c>
      <c r="CQ93" s="43">
        <f>'$$xSchpostCouncil 22'!CQ93/'$$xSchpostCouncil 22'!CQ$123</f>
        <v>9</v>
      </c>
      <c r="CR93" s="43">
        <f>'$$xSchpostCouncil 22'!CR93/'$$xSchpostCouncil 22'!CR$123</f>
        <v>0</v>
      </c>
      <c r="CS93" s="6"/>
      <c r="CT93" s="6"/>
      <c r="CU93" s="6"/>
      <c r="CV93" s="43">
        <f>'$$xSchpostCouncil 22'!CV93/'$$xSchpostCouncil 22'!CV$123</f>
        <v>0</v>
      </c>
      <c r="CW93" s="43">
        <f>'$$xSchpostCouncil 22'!CW93/'$$xSchpostCouncil 22'!CW$123</f>
        <v>0</v>
      </c>
      <c r="CX93" s="6">
        <v>0</v>
      </c>
      <c r="CY93" s="6"/>
      <c r="CZ93" s="6"/>
      <c r="DB93" s="43">
        <f>'$$xSchpostCouncil 22'!DB93/'$$xSchpostCouncil 22'!DB$123</f>
        <v>0</v>
      </c>
      <c r="DC93" s="43">
        <f>'$$xSchpostCouncil 22'!DC93/'$$xSchpostCouncil 22'!DC$123</f>
        <v>0</v>
      </c>
      <c r="DF93" s="43">
        <f>'$$xSchpostCouncil 22'!DF93/'$$xSchpostCouncil 22'!DF$123</f>
        <v>0</v>
      </c>
      <c r="DG93" s="43">
        <f>'$$xSchpostCouncil 22'!DG93/'$$xSchpostCouncil 22'!DG$123</f>
        <v>1</v>
      </c>
      <c r="DH93" s="43">
        <f>'$$xSchpostCouncil 22'!DH93/'$$xSchpostCouncil 22'!DH$123</f>
        <v>0</v>
      </c>
      <c r="DI93" s="43">
        <f>'$$xSchpostCouncil 22'!DI93/'$$xSchpostCouncil 22'!DI$123</f>
        <v>0</v>
      </c>
      <c r="DJ93" s="43">
        <f>'$$xSchpostCouncil 22'!DJ93/'$$xSchpostCouncil 22'!DJ$123</f>
        <v>0</v>
      </c>
      <c r="DK93" s="43">
        <f>'$$xSchpostCouncil 22'!DK93/'$$xSchpostCouncil 22'!DK$123</f>
        <v>0</v>
      </c>
      <c r="DL93" s="6"/>
      <c r="DM93" s="6"/>
      <c r="DN93" s="43">
        <f>'$$xSchpostCouncil 22'!DN93/'$$xSchpostCouncil 22'!DN$123</f>
        <v>0</v>
      </c>
      <c r="DO93" s="6"/>
      <c r="DP93" s="6">
        <v>525</v>
      </c>
      <c r="DU93" s="6">
        <f>VLOOKUP($A93,[3]Totals!$B$2:$K$119,10,FALSE)</f>
        <v>23877</v>
      </c>
      <c r="DV93" s="6">
        <f>VLOOKUP($A93,[3]Totals!$B$2:$K$119,9,FALSE)</f>
        <v>56284.5</v>
      </c>
    </row>
    <row r="94" spans="1:126" x14ac:dyDescent="0.2">
      <c r="A94" s="3">
        <v>307</v>
      </c>
      <c r="B94" s="2" t="s">
        <v>32</v>
      </c>
      <c r="C94" t="s">
        <v>7</v>
      </c>
      <c r="D94">
        <v>8</v>
      </c>
      <c r="E94" s="1">
        <v>259</v>
      </c>
      <c r="F94" s="4">
        <v>0.81899999999999995</v>
      </c>
      <c r="G94">
        <v>212</v>
      </c>
      <c r="H94" s="43">
        <f>'$$xSchpostCouncil 22'!H94/'$$xSchpostCouncil 22'!H$123</f>
        <v>1</v>
      </c>
      <c r="I94" s="43">
        <f>'$$xSchpostCouncil 22'!I94/'$$xSchpostCouncil 22'!I$123</f>
        <v>0</v>
      </c>
      <c r="J94" s="43">
        <f>'$$xSchpostCouncil 22'!J94/'$$xSchpostCouncil 22'!J$123</f>
        <v>0</v>
      </c>
      <c r="K94" s="43">
        <f>'$$xSchpostCouncil 22'!K94/'$$xSchpostCouncil 22'!K$123</f>
        <v>1</v>
      </c>
      <c r="L94" s="6">
        <v>4408</v>
      </c>
      <c r="M94" s="43">
        <f>'$$xSchpostCouncil 22'!M94/'$$xSchpostCouncil 22'!M$123</f>
        <v>1</v>
      </c>
      <c r="N94" s="43">
        <f>'$$xSchpostCouncil 22'!N94/'$$xSchpostCouncil 22'!N$123</f>
        <v>1</v>
      </c>
      <c r="O94" s="43">
        <f>'$$xSchpostCouncil 22'!O94/'$$xSchpostCouncil 22'!O$123</f>
        <v>1</v>
      </c>
      <c r="P94" s="43">
        <f>'$$xSchpostCouncil 22'!P94/'$$xSchpostCouncil 22'!P$123</f>
        <v>1.0000006218408266</v>
      </c>
      <c r="Q94" s="43">
        <f>'$$xSchpostCouncil 22'!Q94/'$$xSchpostCouncil 22'!Q$123</f>
        <v>2</v>
      </c>
      <c r="R94" s="43">
        <f>'$$xSchpostCouncil 22'!R94/'$$xSchpostCouncil 22'!R$123</f>
        <v>0</v>
      </c>
      <c r="S94" s="43">
        <f>'$$xSchpostCouncil 22'!S94/'$$xSchpostCouncil 22'!S$123</f>
        <v>2</v>
      </c>
      <c r="T94" s="43">
        <f>'$$xSchpostCouncil 22'!T94/'$$xSchpostCouncil 22'!T$123</f>
        <v>4</v>
      </c>
      <c r="U94" s="6"/>
      <c r="V94" s="6"/>
      <c r="W94" s="6"/>
      <c r="X94" s="6"/>
      <c r="Y94" s="43">
        <f>'$$xSchpostCouncil 22'!Y94/'$$xSchpostCouncil 22'!Y$123</f>
        <v>0</v>
      </c>
      <c r="Z94" s="43">
        <f>'$$xSchpostCouncil 22'!Z94/'$$xSchpostCouncil 22'!Z$123</f>
        <v>0</v>
      </c>
      <c r="AA94" s="43">
        <f>'$$xSchpostCouncil 22'!AA94/'$$xSchpostCouncil 22'!AA$123</f>
        <v>0</v>
      </c>
      <c r="AB94" s="43">
        <f>'$$xSchpostCouncil 22'!AB94/'$$xSchpostCouncil 22'!AB$123</f>
        <v>0</v>
      </c>
      <c r="AC94" s="6"/>
      <c r="AD94" s="6">
        <v>101220</v>
      </c>
      <c r="AE94" s="43">
        <f>'$$xSchpostCouncil 22'!AE94/'$$xSchpostCouncil 22'!AE$123</f>
        <v>1</v>
      </c>
      <c r="AF94" s="43">
        <f>'$$xSchpostCouncil 22'!AF94/'$$xSchpostCouncil 22'!AF$123</f>
        <v>1</v>
      </c>
      <c r="AG94" s="43">
        <f>'$$xSchpostCouncil 22'!AG94/'$$xSchpostCouncil 22'!AG$123</f>
        <v>7</v>
      </c>
      <c r="AH94" s="43">
        <f>'$$xSchpostCouncil 22'!AH94/'$$xSchpostCouncil 22'!AH$123</f>
        <v>0</v>
      </c>
      <c r="AI94" s="43">
        <f>'$$xSchpostCouncil 22'!AI94/'$$xSchpostCouncil 22'!AI$123</f>
        <v>5</v>
      </c>
      <c r="AJ94" s="43"/>
      <c r="AK94" s="43">
        <f>'$$xSchpostCouncil 22'!AK94/'$$xSchpostCouncil 22'!AK$123</f>
        <v>0</v>
      </c>
      <c r="AL94" s="43">
        <f>'$$xSchpostCouncil 22'!AL94/'$$xSchpostCouncil 22'!AL$123</f>
        <v>0</v>
      </c>
      <c r="AM94" s="6"/>
      <c r="AN94" s="6"/>
      <c r="AO94" s="43">
        <f>'$$xSchpostCouncil 22'!AO94/'$$xSchpostCouncil 22'!AO$123</f>
        <v>0</v>
      </c>
      <c r="AP94" s="43">
        <f>'$$xSchpostCouncil 22'!AP94/'$$xSchpostCouncil 22'!AP$123</f>
        <v>4.9996002451829544E-2</v>
      </c>
      <c r="AQ94" s="43">
        <f>'$$xSchpostCouncil 22'!AQ94/'$$xSchpostCouncil 22'!AQ$123</f>
        <v>0</v>
      </c>
      <c r="AR94" s="6"/>
      <c r="AS94" s="6">
        <f>20400-18700</f>
        <v>1700</v>
      </c>
      <c r="AT94" s="6">
        <f>20400-18700</f>
        <v>1700</v>
      </c>
      <c r="AU94" s="6">
        <v>10200</v>
      </c>
      <c r="AV94" s="6"/>
      <c r="AW94" s="6">
        <v>37400</v>
      </c>
      <c r="AX94" s="6"/>
      <c r="AY94" s="6"/>
      <c r="AZ94" s="6">
        <v>117439.90000000001</v>
      </c>
      <c r="BA94" s="6"/>
      <c r="BB94" s="6"/>
      <c r="BC94" s="43">
        <f>'$$xSchpostCouncil 22'!BC94/'$$xSchpostCouncil 22'!BC$123</f>
        <v>0</v>
      </c>
      <c r="BD94" s="43">
        <f>'$$xSchpostCouncil 22'!BD94/'$$xSchpostCouncil 22'!BD$123</f>
        <v>0</v>
      </c>
      <c r="BE94" s="6"/>
      <c r="BF94" s="6"/>
      <c r="BG94" s="6"/>
      <c r="BH94" s="43">
        <f>'$$xSchpostCouncil 22'!BH94/'$$xSchpostCouncil 22'!BH$123</f>
        <v>0</v>
      </c>
      <c r="BI94" s="6"/>
      <c r="BJ94" s="43">
        <f>'$$xSchpostCouncil 22'!BJ94/'$$xSchpostCouncil 22'!BJ$123</f>
        <v>0</v>
      </c>
      <c r="BK94" s="6"/>
      <c r="BL94" s="43">
        <f>'$$xSchpostCouncil 22'!BL94/'$$xSchpostCouncil 22'!BL$123</f>
        <v>0</v>
      </c>
      <c r="BM94" s="6"/>
      <c r="BN94" s="43">
        <f>'$$xSchpostCouncil 22'!BN94/'$$xSchpostCouncil 22'!BN$123</f>
        <v>0</v>
      </c>
      <c r="BO94" s="43">
        <f>'$$xSchpostCouncil 22'!BO94/'$$xSchpostCouncil 22'!BO$123</f>
        <v>0</v>
      </c>
      <c r="BP94" s="6"/>
      <c r="BQ94" s="6"/>
      <c r="BR94" s="6"/>
      <c r="BS94" s="6"/>
      <c r="BT94" s="6"/>
      <c r="BU94" s="43">
        <f>'$$xSchpostCouncil 22'!BU94/'$$xSchpostCouncil 22'!BU$123</f>
        <v>0</v>
      </c>
      <c r="BV94" s="43">
        <f>'$$xSchpostCouncil 22'!BV94/'$$xSchpostCouncil 22'!BV$123</f>
        <v>0</v>
      </c>
      <c r="BW94" s="43">
        <f>'$$xSchpostCouncil 22'!BW94/'$$xSchpostCouncil 22'!BW$123</f>
        <v>0</v>
      </c>
      <c r="BX94" s="6">
        <v>536681.51</v>
      </c>
      <c r="BY94" s="6"/>
      <c r="BZ94" s="6"/>
      <c r="CA94" s="6"/>
      <c r="CB94" s="6"/>
      <c r="CC94" s="6">
        <v>44687</v>
      </c>
      <c r="CD94" s="6"/>
      <c r="CE94" s="6">
        <v>112569</v>
      </c>
      <c r="CF94" s="6">
        <v>112569</v>
      </c>
      <c r="CI94" s="43">
        <f>'$$xSchpostCouncil 22'!CI94/'$$xSchpostCouncil 22'!CI$123</f>
        <v>1</v>
      </c>
      <c r="CJ94" s="43">
        <f>'$$xSchpostCouncil 22'!CJ94/'$$xSchpostCouncil 22'!CJ$123</f>
        <v>0</v>
      </c>
      <c r="CK94" s="43">
        <f>'$$xSchpostCouncil 22'!CK94/'$$xSchpostCouncil 22'!CK$123</f>
        <v>0.50000550182110282</v>
      </c>
      <c r="CL94" s="43">
        <f>'$$xSchpostCouncil 22'!CL94/'$$xSchpostCouncil 22'!CL$123</f>
        <v>0</v>
      </c>
      <c r="CM94" s="43">
        <f>'$$xSchpostCouncil 22'!CM94/'$$xSchpostCouncil 22'!CM$123</f>
        <v>0</v>
      </c>
      <c r="CN94" s="43">
        <f>'$$xSchpostCouncil 22'!CN94/'$$xSchpostCouncil 22'!CN$123</f>
        <v>0</v>
      </c>
      <c r="CO94" s="43">
        <f>'$$xSchpostCouncil 22'!CO94/'$$xSchpostCouncil 22'!CO$123</f>
        <v>3</v>
      </c>
      <c r="CP94" s="43">
        <f>'$$xSchpostCouncil 22'!CP94/'$$xSchpostCouncil 22'!CP$123</f>
        <v>2</v>
      </c>
      <c r="CQ94" s="43">
        <f>'$$xSchpostCouncil 22'!CQ94/'$$xSchpostCouncil 22'!CQ$123</f>
        <v>10</v>
      </c>
      <c r="CR94" s="43">
        <f>'$$xSchpostCouncil 22'!CR94/'$$xSchpostCouncil 22'!CR$123</f>
        <v>0</v>
      </c>
      <c r="CS94" s="6"/>
      <c r="CT94" s="6"/>
      <c r="CU94" s="6"/>
      <c r="CV94" s="43">
        <f>'$$xSchpostCouncil 22'!CV94/'$$xSchpostCouncil 22'!CV$123</f>
        <v>0</v>
      </c>
      <c r="CW94" s="43">
        <f>'$$xSchpostCouncil 22'!CW94/'$$xSchpostCouncil 22'!CW$123</f>
        <v>0</v>
      </c>
      <c r="CX94" s="6">
        <v>0</v>
      </c>
      <c r="CY94" s="6"/>
      <c r="CZ94" s="6"/>
      <c r="DB94" s="43">
        <f>'$$xSchpostCouncil 22'!DB94/'$$xSchpostCouncil 22'!DB$123</f>
        <v>0</v>
      </c>
      <c r="DC94" s="43">
        <f>'$$xSchpostCouncil 22'!DC94/'$$xSchpostCouncil 22'!DC$123</f>
        <v>0</v>
      </c>
      <c r="DF94" s="43">
        <f>'$$xSchpostCouncil 22'!DF94/'$$xSchpostCouncil 22'!DF$123</f>
        <v>0</v>
      </c>
      <c r="DG94" s="43">
        <f>'$$xSchpostCouncil 22'!DG94/'$$xSchpostCouncil 22'!DG$123</f>
        <v>0</v>
      </c>
      <c r="DH94" s="43">
        <f>'$$xSchpostCouncil 22'!DH94/'$$xSchpostCouncil 22'!DH$123</f>
        <v>0</v>
      </c>
      <c r="DI94" s="43">
        <f>'$$xSchpostCouncil 22'!DI94/'$$xSchpostCouncil 22'!DI$123</f>
        <v>0</v>
      </c>
      <c r="DJ94" s="43">
        <f>'$$xSchpostCouncil 22'!DJ94/'$$xSchpostCouncil 22'!DJ$123</f>
        <v>0</v>
      </c>
      <c r="DK94" s="43">
        <f>'$$xSchpostCouncil 22'!DK94/'$$xSchpostCouncil 22'!DK$123</f>
        <v>0</v>
      </c>
      <c r="DL94" s="6">
        <v>8521</v>
      </c>
      <c r="DM94" s="6"/>
      <c r="DN94" s="43">
        <f>'$$xSchpostCouncil 22'!DN94/'$$xSchpostCouncil 22'!DN$123</f>
        <v>0</v>
      </c>
      <c r="DO94" s="6"/>
      <c r="DP94" s="6">
        <v>22425</v>
      </c>
      <c r="DU94" s="6">
        <f>VLOOKUP($A94,[3]Totals!$B$2:$K$119,10,FALSE)</f>
        <v>227630.76</v>
      </c>
      <c r="DV94" s="6">
        <f>VLOOKUP($A94,[3]Totals!$B$2:$K$119,9,FALSE)</f>
        <v>492282</v>
      </c>
    </row>
    <row r="95" spans="1:126" x14ac:dyDescent="0.2">
      <c r="A95" s="3">
        <v>409</v>
      </c>
      <c r="B95" s="2" t="s">
        <v>31</v>
      </c>
      <c r="C95" t="s">
        <v>4</v>
      </c>
      <c r="D95">
        <v>2</v>
      </c>
      <c r="E95" s="1">
        <v>600</v>
      </c>
      <c r="F95" s="4">
        <v>0.26</v>
      </c>
      <c r="G95">
        <v>156</v>
      </c>
      <c r="H95" s="43">
        <f>'$$xSchpostCouncil 22'!H95/'$$xSchpostCouncil 22'!H$123</f>
        <v>1</v>
      </c>
      <c r="I95" s="43">
        <f>'$$xSchpostCouncil 22'!I95/'$$xSchpostCouncil 22'!I$123</f>
        <v>1</v>
      </c>
      <c r="J95" s="43">
        <f>'$$xSchpostCouncil 22'!J95/'$$xSchpostCouncil 22'!J$123</f>
        <v>0</v>
      </c>
      <c r="K95" s="43">
        <f>'$$xSchpostCouncil 22'!K95/'$$xSchpostCouncil 22'!K$123</f>
        <v>1</v>
      </c>
      <c r="L95" s="6">
        <v>8017</v>
      </c>
      <c r="M95" s="43">
        <f>'$$xSchpostCouncil 22'!M95/'$$xSchpostCouncil 22'!M$123</f>
        <v>1</v>
      </c>
      <c r="N95" s="43">
        <f>'$$xSchpostCouncil 22'!N95/'$$xSchpostCouncil 22'!N$123</f>
        <v>1</v>
      </c>
      <c r="O95" s="43">
        <f>'$$xSchpostCouncil 22'!O95/'$$xSchpostCouncil 22'!O$123</f>
        <v>3</v>
      </c>
      <c r="P95" s="43">
        <f>'$$xSchpostCouncil 22'!P95/'$$xSchpostCouncil 22'!P$123</f>
        <v>1</v>
      </c>
      <c r="Q95" s="43">
        <f>'$$xSchpostCouncil 22'!Q95/'$$xSchpostCouncil 22'!Q$123</f>
        <v>2</v>
      </c>
      <c r="R95" s="43">
        <f>'$$xSchpostCouncil 22'!R95/'$$xSchpostCouncil 22'!R$123</f>
        <v>1</v>
      </c>
      <c r="S95" s="43">
        <f>'$$xSchpostCouncil 22'!S95/'$$xSchpostCouncil 22'!S$123</f>
        <v>2</v>
      </c>
      <c r="T95" s="43">
        <f>'$$xSchpostCouncil 22'!T95/'$$xSchpostCouncil 22'!T$123</f>
        <v>5</v>
      </c>
      <c r="U95" s="6"/>
      <c r="V95" s="6"/>
      <c r="W95" s="6"/>
      <c r="X95" s="6"/>
      <c r="Y95" s="43">
        <f>'$$xSchpostCouncil 22'!Y95/'$$xSchpostCouncil 22'!Y$123</f>
        <v>0</v>
      </c>
      <c r="Z95" s="43">
        <f>'$$xSchpostCouncil 22'!Z95/'$$xSchpostCouncil 22'!Z$123</f>
        <v>0</v>
      </c>
      <c r="AA95" s="43">
        <f>'$$xSchpostCouncil 22'!AA95/'$$xSchpostCouncil 22'!AA$123</f>
        <v>0</v>
      </c>
      <c r="AB95" s="43">
        <f>'$$xSchpostCouncil 22'!AB95/'$$xSchpostCouncil 22'!AB$123</f>
        <v>0</v>
      </c>
      <c r="AC95" s="6"/>
      <c r="AD95" s="6">
        <v>220637</v>
      </c>
      <c r="AE95" s="43">
        <f>'$$xSchpostCouncil 22'!AE95/'$$xSchpostCouncil 22'!AE$123</f>
        <v>1</v>
      </c>
      <c r="AF95" s="43">
        <f>'$$xSchpostCouncil 22'!AF95/'$$xSchpostCouncil 22'!AF$123</f>
        <v>2</v>
      </c>
      <c r="AG95" s="43">
        <f>'$$xSchpostCouncil 22'!AG95/'$$xSchpostCouncil 22'!AG$123</f>
        <v>10</v>
      </c>
      <c r="AH95" s="43">
        <f>'$$xSchpostCouncil 22'!AH95/'$$xSchpostCouncil 22'!AH$123</f>
        <v>0</v>
      </c>
      <c r="AI95" s="43">
        <f>'$$xSchpostCouncil 22'!AI95/'$$xSchpostCouncil 22'!AI$123</f>
        <v>5</v>
      </c>
      <c r="AJ95" s="43"/>
      <c r="AK95" s="43">
        <f>'$$xSchpostCouncil 22'!AK95/'$$xSchpostCouncil 22'!AK$123</f>
        <v>0</v>
      </c>
      <c r="AL95" s="43">
        <f>'$$xSchpostCouncil 22'!AL95/'$$xSchpostCouncil 22'!AL$123</f>
        <v>1</v>
      </c>
      <c r="AM95" s="6"/>
      <c r="AN95" s="6"/>
      <c r="AO95" s="43">
        <f>'$$xSchpostCouncil 22'!AO95/'$$xSchpostCouncil 22'!AO$123</f>
        <v>5</v>
      </c>
      <c r="AP95" s="43">
        <f>'$$xSchpostCouncil 22'!AP95/'$$xSchpostCouncil 22'!AP$123</f>
        <v>0</v>
      </c>
      <c r="AQ95" s="43">
        <f>'$$xSchpostCouncil 22'!AQ95/'$$xSchpostCouncil 22'!AQ$123</f>
        <v>0</v>
      </c>
      <c r="AR95" s="6"/>
      <c r="AS95" s="6"/>
      <c r="AT95" s="6"/>
      <c r="AU95" s="6"/>
      <c r="AV95" s="6"/>
      <c r="AW95" s="6">
        <v>0</v>
      </c>
      <c r="AX95" s="6"/>
      <c r="AY95" s="6"/>
      <c r="AZ95" s="6">
        <v>0</v>
      </c>
      <c r="BA95" s="6"/>
      <c r="BB95" s="6">
        <v>15000</v>
      </c>
      <c r="BC95" s="43">
        <f>'$$xSchpostCouncil 22'!BC95/'$$xSchpostCouncil 22'!BC$123</f>
        <v>0</v>
      </c>
      <c r="BD95" s="43">
        <f>'$$xSchpostCouncil 22'!BD95/'$$xSchpostCouncil 22'!BD$123</f>
        <v>0</v>
      </c>
      <c r="BE95" s="6"/>
      <c r="BF95" s="6"/>
      <c r="BG95" s="6"/>
      <c r="BH95" s="43">
        <f>'$$xSchpostCouncil 22'!BH95/'$$xSchpostCouncil 22'!BH$123</f>
        <v>0</v>
      </c>
      <c r="BI95" s="6"/>
      <c r="BJ95" s="43">
        <f>'$$xSchpostCouncil 22'!BJ95/'$$xSchpostCouncil 22'!BJ$123</f>
        <v>0</v>
      </c>
      <c r="BK95" s="6"/>
      <c r="BL95" s="43">
        <f>'$$xSchpostCouncil 22'!BL95/'$$xSchpostCouncil 22'!BL$123</f>
        <v>0</v>
      </c>
      <c r="BM95" s="6"/>
      <c r="BN95" s="43">
        <f>'$$xSchpostCouncil 22'!BN95/'$$xSchpostCouncil 22'!BN$123</f>
        <v>0</v>
      </c>
      <c r="BO95" s="43">
        <f>'$$xSchpostCouncil 22'!BO95/'$$xSchpostCouncil 22'!BO$123</f>
        <v>0</v>
      </c>
      <c r="BP95" s="6"/>
      <c r="BQ95" s="6"/>
      <c r="BR95" s="6"/>
      <c r="BS95" s="6"/>
      <c r="BT95" s="6"/>
      <c r="BU95" s="43">
        <f>'$$xSchpostCouncil 22'!BU95/'$$xSchpostCouncil 22'!BU$123</f>
        <v>0</v>
      </c>
      <c r="BV95" s="43">
        <f>'$$xSchpostCouncil 22'!BV95/'$$xSchpostCouncil 22'!BV$123</f>
        <v>0</v>
      </c>
      <c r="BW95" s="43">
        <f>'$$xSchpostCouncil 22'!BW95/'$$xSchpostCouncil 22'!BW$123</f>
        <v>0</v>
      </c>
      <c r="BX95" s="6">
        <v>394917</v>
      </c>
      <c r="BY95" s="6"/>
      <c r="BZ95" s="6"/>
      <c r="CA95" s="6"/>
      <c r="CB95" s="6"/>
      <c r="CC95" s="6"/>
      <c r="CD95" s="6"/>
      <c r="CE95" s="6"/>
      <c r="CF95" s="6">
        <v>150057</v>
      </c>
      <c r="CI95" s="43">
        <f>'$$xSchpostCouncil 22'!CI95/'$$xSchpostCouncil 22'!CI$123</f>
        <v>1</v>
      </c>
      <c r="CJ95" s="43">
        <f>'$$xSchpostCouncil 22'!CJ95/'$$xSchpostCouncil 22'!CJ$123</f>
        <v>2.6999980834222415</v>
      </c>
      <c r="CK95" s="43">
        <f>'$$xSchpostCouncil 22'!CK95/'$$xSchpostCouncil 22'!CK$123</f>
        <v>1</v>
      </c>
      <c r="CL95" s="43">
        <f>'$$xSchpostCouncil 22'!CL95/'$$xSchpostCouncil 22'!CL$123</f>
        <v>1.5000098738126739</v>
      </c>
      <c r="CM95" s="43">
        <f>'$$xSchpostCouncil 22'!CM95/'$$xSchpostCouncil 22'!CM$123</f>
        <v>0</v>
      </c>
      <c r="CN95" s="43">
        <f>'$$xSchpostCouncil 22'!CN95/'$$xSchpostCouncil 22'!CN$123</f>
        <v>0</v>
      </c>
      <c r="CO95" s="43">
        <f>'$$xSchpostCouncil 22'!CO95/'$$xSchpostCouncil 22'!CO$123</f>
        <v>3</v>
      </c>
      <c r="CP95" s="43">
        <f>'$$xSchpostCouncil 22'!CP95/'$$xSchpostCouncil 22'!CP$123</f>
        <v>2</v>
      </c>
      <c r="CQ95" s="43">
        <f>'$$xSchpostCouncil 22'!CQ95/'$$xSchpostCouncil 22'!CQ$123</f>
        <v>25.100000888344038</v>
      </c>
      <c r="CR95" s="43">
        <f>'$$xSchpostCouncil 22'!CR95/'$$xSchpostCouncil 22'!CR$123</f>
        <v>2</v>
      </c>
      <c r="CS95" s="6">
        <v>23000</v>
      </c>
      <c r="CT95" s="6"/>
      <c r="CU95" s="6">
        <v>100000</v>
      </c>
      <c r="CV95" s="43">
        <f>'$$xSchpostCouncil 22'!CV95/'$$xSchpostCouncil 22'!CV$123</f>
        <v>0</v>
      </c>
      <c r="CW95" s="43">
        <f>'$$xSchpostCouncil 22'!CW95/'$$xSchpostCouncil 22'!CW$123</f>
        <v>0</v>
      </c>
      <c r="CX95" s="6">
        <v>0</v>
      </c>
      <c r="CY95" s="6"/>
      <c r="CZ95" s="6"/>
      <c r="DB95" s="43">
        <f>'$$xSchpostCouncil 22'!DB95/'$$xSchpostCouncil 22'!DB$123</f>
        <v>1</v>
      </c>
      <c r="DC95" s="43">
        <f>'$$xSchpostCouncil 22'!DC95/'$$xSchpostCouncil 22'!DC$123</f>
        <v>0</v>
      </c>
      <c r="DF95" s="43">
        <f>'$$xSchpostCouncil 22'!DF95/'$$xSchpostCouncil 22'!DF$123</f>
        <v>0</v>
      </c>
      <c r="DG95" s="43">
        <f>'$$xSchpostCouncil 22'!DG95/'$$xSchpostCouncil 22'!DG$123</f>
        <v>0</v>
      </c>
      <c r="DH95" s="43">
        <f>'$$xSchpostCouncil 22'!DH95/'$$xSchpostCouncil 22'!DH$123</f>
        <v>0</v>
      </c>
      <c r="DI95" s="43">
        <f>'$$xSchpostCouncil 22'!DI95/'$$xSchpostCouncil 22'!DI$123</f>
        <v>0</v>
      </c>
      <c r="DJ95" s="43">
        <f>'$$xSchpostCouncil 22'!DJ95/'$$xSchpostCouncil 22'!DJ$123</f>
        <v>0</v>
      </c>
      <c r="DK95" s="43">
        <f>'$$xSchpostCouncil 22'!DK95/'$$xSchpostCouncil 22'!DK$123</f>
        <v>0</v>
      </c>
      <c r="DL95" s="6">
        <v>3117</v>
      </c>
      <c r="DM95" s="6"/>
      <c r="DN95" s="43">
        <f>'$$xSchpostCouncil 22'!DN95/'$$xSchpostCouncil 22'!DN$123</f>
        <v>0</v>
      </c>
      <c r="DO95" s="6"/>
      <c r="DP95" s="6">
        <v>24750</v>
      </c>
      <c r="DU95" s="6">
        <f>VLOOKUP($A95,[3]Totals!$B$2:$K$119,10,FALSE)</f>
        <v>103443.92</v>
      </c>
      <c r="DV95" s="6">
        <f>VLOOKUP($A95,[3]Totals!$B$2:$K$119,9,FALSE)</f>
        <v>112569</v>
      </c>
    </row>
    <row r="96" spans="1:126" x14ac:dyDescent="0.2">
      <c r="A96" s="3">
        <v>466</v>
      </c>
      <c r="B96" s="2" t="s">
        <v>30</v>
      </c>
      <c r="C96" t="s">
        <v>1</v>
      </c>
      <c r="D96">
        <v>2</v>
      </c>
      <c r="E96" s="1">
        <v>600</v>
      </c>
      <c r="F96" s="4">
        <v>0.16800000000000001</v>
      </c>
      <c r="G96">
        <v>101</v>
      </c>
      <c r="H96" s="43">
        <f>'$$xSchpostCouncil 22'!H96/'$$xSchpostCouncil 22'!H$123</f>
        <v>1</v>
      </c>
      <c r="I96" s="43">
        <f>'$$xSchpostCouncil 22'!I96/'$$xSchpostCouncil 22'!I$123</f>
        <v>0</v>
      </c>
      <c r="J96" s="43">
        <f>'$$xSchpostCouncil 22'!J96/'$$xSchpostCouncil 22'!J$123</f>
        <v>2.5</v>
      </c>
      <c r="K96" s="43">
        <f>'$$xSchpostCouncil 22'!K96/'$$xSchpostCouncil 22'!K$123</f>
        <v>1</v>
      </c>
      <c r="L96" s="6">
        <v>7819</v>
      </c>
      <c r="M96" s="43">
        <f>'$$xSchpostCouncil 22'!M96/'$$xSchpostCouncil 22'!M$123</f>
        <v>1</v>
      </c>
      <c r="N96" s="43">
        <f>'$$xSchpostCouncil 22'!N96/'$$xSchpostCouncil 22'!N$123</f>
        <v>1</v>
      </c>
      <c r="O96" s="43">
        <f>'$$xSchpostCouncil 22'!O96/'$$xSchpostCouncil 22'!O$123</f>
        <v>3</v>
      </c>
      <c r="P96" s="43">
        <f>'$$xSchpostCouncil 22'!P96/'$$xSchpostCouncil 22'!P$123</f>
        <v>1</v>
      </c>
      <c r="Q96" s="43">
        <f>'$$xSchpostCouncil 22'!Q96/'$$xSchpostCouncil 22'!Q$123</f>
        <v>0</v>
      </c>
      <c r="R96" s="43">
        <f>'$$xSchpostCouncil 22'!R96/'$$xSchpostCouncil 22'!R$123</f>
        <v>0</v>
      </c>
      <c r="S96" s="43">
        <f>'$$xSchpostCouncil 22'!S96/'$$xSchpostCouncil 22'!S$123</f>
        <v>0</v>
      </c>
      <c r="T96" s="43">
        <f>'$$xSchpostCouncil 22'!T96/'$$xSchpostCouncil 22'!T$123</f>
        <v>0</v>
      </c>
      <c r="U96" s="6"/>
      <c r="V96" s="6"/>
      <c r="W96" s="6"/>
      <c r="X96" s="6"/>
      <c r="Y96" s="43">
        <f>'$$xSchpostCouncil 22'!Y96/'$$xSchpostCouncil 22'!Y$123</f>
        <v>0</v>
      </c>
      <c r="Z96" s="43">
        <f>'$$xSchpostCouncil 22'!Z96/'$$xSchpostCouncil 22'!Z$123</f>
        <v>0</v>
      </c>
      <c r="AA96" s="43">
        <f>'$$xSchpostCouncil 22'!AA96/'$$xSchpostCouncil 22'!AA$123</f>
        <v>0</v>
      </c>
      <c r="AB96" s="43">
        <f>'$$xSchpostCouncil 22'!AB96/'$$xSchpostCouncil 22'!AB$123</f>
        <v>0</v>
      </c>
      <c r="AC96" s="6"/>
      <c r="AD96" s="6">
        <v>210228</v>
      </c>
      <c r="AE96" s="43">
        <f>'$$xSchpostCouncil 22'!AE96/'$$xSchpostCouncil 22'!AE$123</f>
        <v>1</v>
      </c>
      <c r="AF96" s="43">
        <f>'$$xSchpostCouncil 22'!AF96/'$$xSchpostCouncil 22'!AF$123</f>
        <v>1</v>
      </c>
      <c r="AG96" s="43">
        <f>'$$xSchpostCouncil 22'!AG96/'$$xSchpostCouncil 22'!AG$123</f>
        <v>1</v>
      </c>
      <c r="AH96" s="43">
        <f>'$$xSchpostCouncil 22'!AH96/'$$xSchpostCouncil 22'!AH$123</f>
        <v>0</v>
      </c>
      <c r="AI96" s="43">
        <f>'$$xSchpostCouncil 22'!AI96/'$$xSchpostCouncil 22'!AI$123</f>
        <v>0</v>
      </c>
      <c r="AJ96" s="43"/>
      <c r="AK96" s="43">
        <f>'$$xSchpostCouncil 22'!AK96/'$$xSchpostCouncil 22'!AK$123</f>
        <v>0</v>
      </c>
      <c r="AL96" s="43">
        <f>'$$xSchpostCouncil 22'!AL96/'$$xSchpostCouncil 22'!AL$123</f>
        <v>1</v>
      </c>
      <c r="AM96" s="6"/>
      <c r="AN96" s="6"/>
      <c r="AO96" s="43">
        <f>'$$xSchpostCouncil 22'!AO96/'$$xSchpostCouncil 22'!AO$123</f>
        <v>0</v>
      </c>
      <c r="AP96" s="43">
        <f>'$$xSchpostCouncil 22'!AP96/'$$xSchpostCouncil 22'!AP$123</f>
        <v>8.9998134477520447E-2</v>
      </c>
      <c r="AQ96" s="43">
        <f>'$$xSchpostCouncil 22'!AQ96/'$$xSchpostCouncil 22'!AQ$123</f>
        <v>0</v>
      </c>
      <c r="AR96" s="6"/>
      <c r="AS96" s="6"/>
      <c r="AT96" s="6"/>
      <c r="AU96" s="6"/>
      <c r="AV96" s="6"/>
      <c r="AW96" s="6">
        <v>0</v>
      </c>
      <c r="AX96" s="6"/>
      <c r="AY96" s="6"/>
      <c r="AZ96" s="6">
        <v>0</v>
      </c>
      <c r="BA96" s="6"/>
      <c r="BB96" s="6">
        <v>15000</v>
      </c>
      <c r="BC96" s="43">
        <f>'$$xSchpostCouncil 22'!BC96/'$$xSchpostCouncil 22'!BC$123</f>
        <v>0</v>
      </c>
      <c r="BD96" s="43">
        <f>'$$xSchpostCouncil 22'!BD96/'$$xSchpostCouncil 22'!BD$123</f>
        <v>0</v>
      </c>
      <c r="BE96" s="6"/>
      <c r="BF96" s="6"/>
      <c r="BG96" s="6"/>
      <c r="BH96" s="43">
        <f>'$$xSchpostCouncil 22'!BH96/'$$xSchpostCouncil 22'!BH$123</f>
        <v>0</v>
      </c>
      <c r="BI96" s="6"/>
      <c r="BJ96" s="43">
        <f>'$$xSchpostCouncil 22'!BJ96/'$$xSchpostCouncil 22'!BJ$123</f>
        <v>0</v>
      </c>
      <c r="BK96" s="6"/>
      <c r="BL96" s="43">
        <f>'$$xSchpostCouncil 22'!BL96/'$$xSchpostCouncil 22'!BL$123</f>
        <v>0</v>
      </c>
      <c r="BM96" s="6"/>
      <c r="BN96" s="43">
        <f>'$$xSchpostCouncil 22'!BN96/'$$xSchpostCouncil 22'!BN$123</f>
        <v>0</v>
      </c>
      <c r="BO96" s="43">
        <f>'$$xSchpostCouncil 22'!BO96/'$$xSchpostCouncil 22'!BO$123</f>
        <v>0</v>
      </c>
      <c r="BP96" s="6"/>
      <c r="BQ96" s="6"/>
      <c r="BR96" s="6"/>
      <c r="BS96" s="6">
        <v>519436</v>
      </c>
      <c r="BT96" s="6"/>
      <c r="BU96" s="43">
        <f>'$$xSchpostCouncil 22'!BU96/'$$xSchpostCouncil 22'!BU$123</f>
        <v>0</v>
      </c>
      <c r="BV96" s="43">
        <f>'$$xSchpostCouncil 22'!BV96/'$$xSchpostCouncil 22'!BV$123</f>
        <v>0</v>
      </c>
      <c r="BW96" s="43">
        <f>'$$xSchpostCouncil 22'!BW96/'$$xSchpostCouncil 22'!BW$123</f>
        <v>0</v>
      </c>
      <c r="BX96" s="6">
        <v>283479</v>
      </c>
      <c r="BY96" s="6"/>
      <c r="BZ96" s="6"/>
      <c r="CA96" s="6"/>
      <c r="CB96" s="6"/>
      <c r="CC96" s="6"/>
      <c r="CD96" s="6">
        <v>148035</v>
      </c>
      <c r="CE96" s="6"/>
      <c r="CF96" s="6">
        <v>168854</v>
      </c>
      <c r="CI96" s="43">
        <f>'$$xSchpostCouncil 22'!CI96/'$$xSchpostCouncil 22'!CI$123</f>
        <v>1</v>
      </c>
      <c r="CJ96" s="43">
        <f>'$$xSchpostCouncil 22'!CJ96/'$$xSchpostCouncil 22'!CJ$123</f>
        <v>2</v>
      </c>
      <c r="CK96" s="43">
        <f>'$$xSchpostCouncil 22'!CK96/'$$xSchpostCouncil 22'!CK$123</f>
        <v>1</v>
      </c>
      <c r="CL96" s="43">
        <f>'$$xSchpostCouncil 22'!CL96/'$$xSchpostCouncil 22'!CL$123</f>
        <v>1.5000098738126739</v>
      </c>
      <c r="CM96" s="43">
        <f>'$$xSchpostCouncil 22'!CM96/'$$xSchpostCouncil 22'!CM$123</f>
        <v>1</v>
      </c>
      <c r="CN96" s="43">
        <f>'$$xSchpostCouncil 22'!CN96/'$$xSchpostCouncil 22'!CN$123</f>
        <v>1</v>
      </c>
      <c r="CO96" s="43">
        <f>'$$xSchpostCouncil 22'!CO96/'$$xSchpostCouncil 22'!CO$123</f>
        <v>0</v>
      </c>
      <c r="CP96" s="43">
        <f>'$$xSchpostCouncil 22'!CP96/'$$xSchpostCouncil 22'!CP$123</f>
        <v>0</v>
      </c>
      <c r="CQ96" s="43">
        <f>'$$xSchpostCouncil 22'!CQ96/'$$xSchpostCouncil 22'!CQ$123</f>
        <v>25.000000888344033</v>
      </c>
      <c r="CR96" s="43">
        <f>'$$xSchpostCouncil 22'!CR96/'$$xSchpostCouncil 22'!CR$123</f>
        <v>0</v>
      </c>
      <c r="CS96" s="6"/>
      <c r="CT96" s="6"/>
      <c r="CU96" s="6"/>
      <c r="CV96" s="43">
        <f>'$$xSchpostCouncil 22'!CV96/'$$xSchpostCouncil 22'!CV$123</f>
        <v>1</v>
      </c>
      <c r="CW96" s="43">
        <f>'$$xSchpostCouncil 22'!CW96/'$$xSchpostCouncil 22'!CW$123</f>
        <v>0</v>
      </c>
      <c r="CX96" s="6">
        <v>0</v>
      </c>
      <c r="CY96" s="6"/>
      <c r="CZ96" s="6"/>
      <c r="DB96" s="43">
        <f>'$$xSchpostCouncil 22'!DB96/'$$xSchpostCouncil 22'!DB$123</f>
        <v>0</v>
      </c>
      <c r="DC96" s="43">
        <f>'$$xSchpostCouncil 22'!DC96/'$$xSchpostCouncil 22'!DC$123</f>
        <v>0</v>
      </c>
      <c r="DF96" s="43">
        <f>'$$xSchpostCouncil 22'!DF96/'$$xSchpostCouncil 22'!DF$123</f>
        <v>0</v>
      </c>
      <c r="DG96" s="43">
        <f>'$$xSchpostCouncil 22'!DG96/'$$xSchpostCouncil 22'!DG$123</f>
        <v>0</v>
      </c>
      <c r="DH96" s="43">
        <f>'$$xSchpostCouncil 22'!DH96/'$$xSchpostCouncil 22'!DH$123</f>
        <v>0.10000000000000142</v>
      </c>
      <c r="DI96" s="43">
        <f>'$$xSchpostCouncil 22'!DI96/'$$xSchpostCouncil 22'!DI$123</f>
        <v>0</v>
      </c>
      <c r="DJ96" s="43">
        <f>'$$xSchpostCouncil 22'!DJ96/'$$xSchpostCouncil 22'!DJ$123</f>
        <v>0</v>
      </c>
      <c r="DK96" s="43">
        <f>'$$xSchpostCouncil 22'!DK96/'$$xSchpostCouncil 22'!DK$123</f>
        <v>0</v>
      </c>
      <c r="DL96" s="6"/>
      <c r="DM96" s="6"/>
      <c r="DN96" s="43">
        <f>'$$xSchpostCouncil 22'!DN96/'$$xSchpostCouncil 22'!DN$123</f>
        <v>0</v>
      </c>
      <c r="DO96" s="6"/>
      <c r="DP96" s="6">
        <v>700</v>
      </c>
      <c r="DU96" s="6">
        <f>VLOOKUP($A96,[3]Totals!$B$2:$K$119,10,FALSE)</f>
        <v>74853.009999999995</v>
      </c>
      <c r="DV96" s="6">
        <f>VLOOKUP($A96,[3]Totals!$B$2:$K$119,9,FALSE)</f>
        <v>225138</v>
      </c>
    </row>
    <row r="97" spans="1:126" x14ac:dyDescent="0.2">
      <c r="A97" s="3">
        <v>943</v>
      </c>
      <c r="B97" s="2" t="s">
        <v>29</v>
      </c>
      <c r="C97" t="s">
        <v>7</v>
      </c>
      <c r="D97">
        <v>6</v>
      </c>
      <c r="E97" s="1">
        <v>311</v>
      </c>
      <c r="F97" s="4">
        <v>0.09</v>
      </c>
      <c r="G97">
        <v>28</v>
      </c>
      <c r="H97" s="43">
        <f>'$$xSchpostCouncil 22'!H97/'$$xSchpostCouncil 22'!H$123</f>
        <v>1</v>
      </c>
      <c r="I97" s="43">
        <f>'$$xSchpostCouncil 22'!I97/'$$xSchpostCouncil 22'!I$123</f>
        <v>0</v>
      </c>
      <c r="J97" s="43">
        <f>'$$xSchpostCouncil 22'!J97/'$$xSchpostCouncil 22'!J$123</f>
        <v>0</v>
      </c>
      <c r="K97" s="43">
        <f>'$$xSchpostCouncil 22'!K97/'$$xSchpostCouncil 22'!K$123</f>
        <v>1</v>
      </c>
      <c r="L97" s="6">
        <v>4529</v>
      </c>
      <c r="M97" s="43">
        <f>'$$xSchpostCouncil 22'!M97/'$$xSchpostCouncil 22'!M$123</f>
        <v>1</v>
      </c>
      <c r="N97" s="43">
        <f>'$$xSchpostCouncil 22'!N97/'$$xSchpostCouncil 22'!N$123</f>
        <v>1</v>
      </c>
      <c r="O97" s="43">
        <f>'$$xSchpostCouncil 22'!O97/'$$xSchpostCouncil 22'!O$123</f>
        <v>2</v>
      </c>
      <c r="P97" s="43">
        <f>'$$xSchpostCouncil 22'!P97/'$$xSchpostCouncil 22'!P$123</f>
        <v>1</v>
      </c>
      <c r="Q97" s="43">
        <f>'$$xSchpostCouncil 22'!Q97/'$$xSchpostCouncil 22'!Q$123</f>
        <v>2</v>
      </c>
      <c r="R97" s="43">
        <f>'$$xSchpostCouncil 22'!R97/'$$xSchpostCouncil 22'!R$123</f>
        <v>0</v>
      </c>
      <c r="S97" s="43">
        <f>'$$xSchpostCouncil 22'!S97/'$$xSchpostCouncil 22'!S$123</f>
        <v>2</v>
      </c>
      <c r="T97" s="43">
        <f>'$$xSchpostCouncil 22'!T97/'$$xSchpostCouncil 22'!T$123</f>
        <v>4</v>
      </c>
      <c r="U97" s="6"/>
      <c r="V97" s="6"/>
      <c r="W97" s="6"/>
      <c r="X97" s="6"/>
      <c r="Y97" s="43">
        <f>'$$xSchpostCouncil 22'!Y97/'$$xSchpostCouncil 22'!Y$123</f>
        <v>0</v>
      </c>
      <c r="Z97" s="43">
        <f>'$$xSchpostCouncil 22'!Z97/'$$xSchpostCouncil 22'!Z$123</f>
        <v>0</v>
      </c>
      <c r="AA97" s="43">
        <f>'$$xSchpostCouncil 22'!AA97/'$$xSchpostCouncil 22'!AA$123</f>
        <v>0</v>
      </c>
      <c r="AB97" s="43">
        <f>'$$xSchpostCouncil 22'!AB97/'$$xSchpostCouncil 22'!AB$123</f>
        <v>0</v>
      </c>
      <c r="AC97" s="6"/>
      <c r="AD97" s="6">
        <v>125015</v>
      </c>
      <c r="AE97" s="43">
        <f>'$$xSchpostCouncil 22'!AE97/'$$xSchpostCouncil 22'!AE$123</f>
        <v>1</v>
      </c>
      <c r="AF97" s="43">
        <f>'$$xSchpostCouncil 22'!AF97/'$$xSchpostCouncil 22'!AF$123</f>
        <v>1</v>
      </c>
      <c r="AG97" s="43">
        <f>'$$xSchpostCouncil 22'!AG97/'$$xSchpostCouncil 22'!AG$123</f>
        <v>10</v>
      </c>
      <c r="AH97" s="43">
        <f>'$$xSchpostCouncil 22'!AH97/'$$xSchpostCouncil 22'!AH$123</f>
        <v>0</v>
      </c>
      <c r="AI97" s="43">
        <f>'$$xSchpostCouncil 22'!AI97/'$$xSchpostCouncil 22'!AI$123</f>
        <v>12</v>
      </c>
      <c r="AJ97" s="43"/>
      <c r="AK97" s="43">
        <f>'$$xSchpostCouncil 22'!AK97/'$$xSchpostCouncil 22'!AK$123</f>
        <v>0</v>
      </c>
      <c r="AL97" s="43">
        <f>'$$xSchpostCouncil 22'!AL97/'$$xSchpostCouncil 22'!AL$123</f>
        <v>0</v>
      </c>
      <c r="AM97" s="6"/>
      <c r="AN97" s="6"/>
      <c r="AO97" s="43">
        <f>'$$xSchpostCouncil 22'!AO97/'$$xSchpostCouncil 22'!AO$123</f>
        <v>0</v>
      </c>
      <c r="AP97" s="43">
        <f>'$$xSchpostCouncil 22'!AP97/'$$xSchpostCouncil 22'!AP$123</f>
        <v>0.31999928932476968</v>
      </c>
      <c r="AQ97" s="43">
        <f>'$$xSchpostCouncil 22'!AQ97/'$$xSchpostCouncil 22'!AQ$123</f>
        <v>0</v>
      </c>
      <c r="AR97" s="6"/>
      <c r="AS97" s="6"/>
      <c r="AT97" s="6"/>
      <c r="AU97" s="6"/>
      <c r="AV97" s="6"/>
      <c r="AW97" s="6">
        <v>0</v>
      </c>
      <c r="AX97" s="6"/>
      <c r="AY97" s="6"/>
      <c r="AZ97" s="6">
        <v>0</v>
      </c>
      <c r="BA97" s="6"/>
      <c r="BB97" s="6">
        <v>7775</v>
      </c>
      <c r="BC97" s="43">
        <f>'$$xSchpostCouncil 22'!BC97/'$$xSchpostCouncil 22'!BC$123</f>
        <v>0</v>
      </c>
      <c r="BD97" s="43">
        <f>'$$xSchpostCouncil 22'!BD97/'$$xSchpostCouncil 22'!BD$123</f>
        <v>0</v>
      </c>
      <c r="BE97" s="6"/>
      <c r="BF97" s="6"/>
      <c r="BG97" s="6"/>
      <c r="BH97" s="43">
        <f>'$$xSchpostCouncil 22'!BH97/'$$xSchpostCouncil 22'!BH$123</f>
        <v>0</v>
      </c>
      <c r="BI97" s="6"/>
      <c r="BJ97" s="43">
        <f>'$$xSchpostCouncil 22'!BJ97/'$$xSchpostCouncil 22'!BJ$123</f>
        <v>0</v>
      </c>
      <c r="BK97" s="6"/>
      <c r="BL97" s="43">
        <f>'$$xSchpostCouncil 22'!BL97/'$$xSchpostCouncil 22'!BL$123</f>
        <v>0</v>
      </c>
      <c r="BM97" s="6"/>
      <c r="BN97" s="43">
        <f>'$$xSchpostCouncil 22'!BN97/'$$xSchpostCouncil 22'!BN$123</f>
        <v>0</v>
      </c>
      <c r="BO97" s="43">
        <f>'$$xSchpostCouncil 22'!BO97/'$$xSchpostCouncil 22'!BO$123</f>
        <v>0</v>
      </c>
      <c r="BP97" s="6"/>
      <c r="BQ97" s="6"/>
      <c r="BR97" s="6"/>
      <c r="BS97" s="6"/>
      <c r="BT97" s="6"/>
      <c r="BU97" s="43">
        <f>'$$xSchpostCouncil 22'!BU97/'$$xSchpostCouncil 22'!BU$123</f>
        <v>0</v>
      </c>
      <c r="BV97" s="43">
        <f>'$$xSchpostCouncil 22'!BV97/'$$xSchpostCouncil 22'!BV$123</f>
        <v>0</v>
      </c>
      <c r="BW97" s="43">
        <f>'$$xSchpostCouncil 22'!BW97/'$$xSchpostCouncil 22'!BW$123</f>
        <v>0</v>
      </c>
      <c r="BX97" s="6">
        <v>70883</v>
      </c>
      <c r="BY97" s="6"/>
      <c r="BZ97" s="6"/>
      <c r="CA97" s="6"/>
      <c r="CB97" s="6"/>
      <c r="CC97" s="6"/>
      <c r="CD97" s="6"/>
      <c r="CE97" s="6"/>
      <c r="CF97" s="6">
        <v>146285</v>
      </c>
      <c r="CI97" s="43">
        <f>'$$xSchpostCouncil 22'!CI97/'$$xSchpostCouncil 22'!CI$123</f>
        <v>1</v>
      </c>
      <c r="CJ97" s="43">
        <f>'$$xSchpostCouncil 22'!CJ97/'$$xSchpostCouncil 22'!CJ$123</f>
        <v>0.79999872228149416</v>
      </c>
      <c r="CK97" s="43">
        <f>'$$xSchpostCouncil 22'!CK97/'$$xSchpostCouncil 22'!CK$123</f>
        <v>1</v>
      </c>
      <c r="CL97" s="43">
        <f>'$$xSchpostCouncil 22'!CL97/'$$xSchpostCouncil 22'!CL$123</f>
        <v>0</v>
      </c>
      <c r="CM97" s="43">
        <f>'$$xSchpostCouncil 22'!CM97/'$$xSchpostCouncil 22'!CM$123</f>
        <v>0</v>
      </c>
      <c r="CN97" s="43">
        <f>'$$xSchpostCouncil 22'!CN97/'$$xSchpostCouncil 22'!CN$123</f>
        <v>0</v>
      </c>
      <c r="CO97" s="43">
        <f>'$$xSchpostCouncil 22'!CO97/'$$xSchpostCouncil 22'!CO$123</f>
        <v>3</v>
      </c>
      <c r="CP97" s="43">
        <f>'$$xSchpostCouncil 22'!CP97/'$$xSchpostCouncil 22'!CP$123</f>
        <v>2</v>
      </c>
      <c r="CQ97" s="43">
        <f>'$$xSchpostCouncil 22'!CQ97/'$$xSchpostCouncil 22'!CQ$123</f>
        <v>11</v>
      </c>
      <c r="CR97" s="43">
        <f>'$$xSchpostCouncil 22'!CR97/'$$xSchpostCouncil 22'!CR$123</f>
        <v>0</v>
      </c>
      <c r="CS97" s="6"/>
      <c r="CT97" s="6"/>
      <c r="CU97" s="6"/>
      <c r="CV97" s="43">
        <f>'$$xSchpostCouncil 22'!CV97/'$$xSchpostCouncil 22'!CV$123</f>
        <v>0</v>
      </c>
      <c r="CW97" s="43">
        <f>'$$xSchpostCouncil 22'!CW97/'$$xSchpostCouncil 22'!CW$123</f>
        <v>0</v>
      </c>
      <c r="CX97" s="6">
        <v>0</v>
      </c>
      <c r="CY97" s="6"/>
      <c r="CZ97" s="6"/>
      <c r="DB97" s="43">
        <f>'$$xSchpostCouncil 22'!DB97/'$$xSchpostCouncil 22'!DB$123</f>
        <v>0</v>
      </c>
      <c r="DC97" s="43">
        <f>'$$xSchpostCouncil 22'!DC97/'$$xSchpostCouncil 22'!DC$123</f>
        <v>0</v>
      </c>
      <c r="DF97" s="43">
        <f>'$$xSchpostCouncil 22'!DF97/'$$xSchpostCouncil 22'!DF$123</f>
        <v>0</v>
      </c>
      <c r="DG97" s="43">
        <f>'$$xSchpostCouncil 22'!DG97/'$$xSchpostCouncil 22'!DG$123</f>
        <v>0</v>
      </c>
      <c r="DH97" s="43">
        <f>'$$xSchpostCouncil 22'!DH97/'$$xSchpostCouncil 22'!DH$123</f>
        <v>0</v>
      </c>
      <c r="DI97" s="43">
        <f>'$$xSchpostCouncil 22'!DI97/'$$xSchpostCouncil 22'!DI$123</f>
        <v>0</v>
      </c>
      <c r="DJ97" s="43">
        <f>'$$xSchpostCouncil 22'!DJ97/'$$xSchpostCouncil 22'!DJ$123</f>
        <v>0</v>
      </c>
      <c r="DK97" s="43">
        <f>'$$xSchpostCouncil 22'!DK97/'$$xSchpostCouncil 22'!DK$123</f>
        <v>0</v>
      </c>
      <c r="DL97" s="6"/>
      <c r="DM97" s="6"/>
      <c r="DN97" s="43">
        <f>'$$xSchpostCouncil 22'!DN97/'$$xSchpostCouncil 22'!DN$123</f>
        <v>0</v>
      </c>
      <c r="DO97" s="6"/>
      <c r="DP97" s="6">
        <v>1750</v>
      </c>
      <c r="DU97" s="6">
        <f>VLOOKUP($A97,[3]Totals!$B$2:$K$119,10,FALSE)</f>
        <v>40287.71</v>
      </c>
      <c r="DV97" s="6">
        <f>VLOOKUP($A97,[3]Totals!$B$2:$K$119,9,FALSE)</f>
        <v>22569</v>
      </c>
    </row>
    <row r="98" spans="1:126" x14ac:dyDescent="0.2">
      <c r="A98" s="3">
        <v>309</v>
      </c>
      <c r="B98" s="2" t="s">
        <v>28</v>
      </c>
      <c r="C98" t="s">
        <v>7</v>
      </c>
      <c r="D98">
        <v>6</v>
      </c>
      <c r="E98" s="1">
        <v>364</v>
      </c>
      <c r="F98" s="4">
        <v>0.41199999999999998</v>
      </c>
      <c r="G98">
        <v>150</v>
      </c>
      <c r="H98" s="43">
        <f>'$$xSchpostCouncil 22'!H98/'$$xSchpostCouncil 22'!H$123</f>
        <v>1</v>
      </c>
      <c r="I98" s="43">
        <f>'$$xSchpostCouncil 22'!I98/'$$xSchpostCouncil 22'!I$123</f>
        <v>0</v>
      </c>
      <c r="J98" s="43">
        <f>'$$xSchpostCouncil 22'!J98/'$$xSchpostCouncil 22'!J$123</f>
        <v>0</v>
      </c>
      <c r="K98" s="43">
        <f>'$$xSchpostCouncil 22'!K98/'$$xSchpostCouncil 22'!K$123</f>
        <v>1</v>
      </c>
      <c r="L98" s="6">
        <v>5108</v>
      </c>
      <c r="M98" s="43">
        <f>'$$xSchpostCouncil 22'!M98/'$$xSchpostCouncil 22'!M$123</f>
        <v>1</v>
      </c>
      <c r="N98" s="43">
        <f>'$$xSchpostCouncil 22'!N98/'$$xSchpostCouncil 22'!N$123</f>
        <v>1</v>
      </c>
      <c r="O98" s="43">
        <f>'$$xSchpostCouncil 22'!O98/'$$xSchpostCouncil 22'!O$123</f>
        <v>2</v>
      </c>
      <c r="P98" s="43">
        <f>'$$xSchpostCouncil 22'!P98/'$$xSchpostCouncil 22'!P$123</f>
        <v>1</v>
      </c>
      <c r="Q98" s="43">
        <f>'$$xSchpostCouncil 22'!Q98/'$$xSchpostCouncil 22'!Q$123</f>
        <v>3</v>
      </c>
      <c r="R98" s="43">
        <f>'$$xSchpostCouncil 22'!R98/'$$xSchpostCouncil 22'!R$123</f>
        <v>0</v>
      </c>
      <c r="S98" s="43">
        <f>'$$xSchpostCouncil 22'!S98/'$$xSchpostCouncil 22'!S$123</f>
        <v>3</v>
      </c>
      <c r="T98" s="43">
        <f>'$$xSchpostCouncil 22'!T98/'$$xSchpostCouncil 22'!T$123</f>
        <v>6</v>
      </c>
      <c r="U98" s="6"/>
      <c r="V98" s="6"/>
      <c r="W98" s="6"/>
      <c r="X98" s="6"/>
      <c r="Y98" s="43">
        <f>'$$xSchpostCouncil 22'!Y98/'$$xSchpostCouncil 22'!Y$123</f>
        <v>0</v>
      </c>
      <c r="Z98" s="43">
        <f>'$$xSchpostCouncil 22'!Z98/'$$xSchpostCouncil 22'!Z$123</f>
        <v>0</v>
      </c>
      <c r="AA98" s="43">
        <f>'$$xSchpostCouncil 22'!AA98/'$$xSchpostCouncil 22'!AA$123</f>
        <v>0</v>
      </c>
      <c r="AB98" s="43">
        <f>'$$xSchpostCouncil 22'!AB98/'$$xSchpostCouncil 22'!AB$123</f>
        <v>0</v>
      </c>
      <c r="AC98" s="6"/>
      <c r="AD98" s="6">
        <v>153408</v>
      </c>
      <c r="AE98" s="43">
        <f>'$$xSchpostCouncil 22'!AE98/'$$xSchpostCouncil 22'!AE$123</f>
        <v>1</v>
      </c>
      <c r="AF98" s="43">
        <f>'$$xSchpostCouncil 22'!AF98/'$$xSchpostCouncil 22'!AF$123</f>
        <v>2</v>
      </c>
      <c r="AG98" s="43">
        <f>'$$xSchpostCouncil 22'!AG98/'$$xSchpostCouncil 22'!AG$123</f>
        <v>7</v>
      </c>
      <c r="AH98" s="43">
        <f>'$$xSchpostCouncil 22'!AH98/'$$xSchpostCouncil 22'!AH$123</f>
        <v>0</v>
      </c>
      <c r="AI98" s="43">
        <f>'$$xSchpostCouncil 22'!AI98/'$$xSchpostCouncil 22'!AI$123</f>
        <v>8</v>
      </c>
      <c r="AJ98" s="43"/>
      <c r="AK98" s="43">
        <f>'$$xSchpostCouncil 22'!AK98/'$$xSchpostCouncil 22'!AK$123</f>
        <v>0</v>
      </c>
      <c r="AL98" s="43">
        <f>'$$xSchpostCouncil 22'!AL98/'$$xSchpostCouncil 22'!AL$123</f>
        <v>1</v>
      </c>
      <c r="AM98" s="6"/>
      <c r="AN98" s="6"/>
      <c r="AO98" s="43">
        <f>'$$xSchpostCouncil 22'!AO98/'$$xSchpostCouncil 22'!AO$123</f>
        <v>7</v>
      </c>
      <c r="AP98" s="43">
        <f>'$$xSchpostCouncil 22'!AP98/'$$xSchpostCouncil 22'!AP$123</f>
        <v>0</v>
      </c>
      <c r="AQ98" s="43">
        <f>'$$xSchpostCouncil 22'!AQ98/'$$xSchpostCouncil 22'!AQ$123</f>
        <v>0</v>
      </c>
      <c r="AR98" s="6"/>
      <c r="AS98" s="6">
        <f>40800-20400</f>
        <v>20400</v>
      </c>
      <c r="AT98" s="6">
        <f>40800-20400</f>
        <v>20400</v>
      </c>
      <c r="AU98" s="6"/>
      <c r="AV98" s="6"/>
      <c r="AW98" s="6">
        <v>40800</v>
      </c>
      <c r="AX98" s="6"/>
      <c r="AY98" s="6"/>
      <c r="AZ98" s="6">
        <v>165049.5</v>
      </c>
      <c r="BA98" s="6"/>
      <c r="BB98" s="6"/>
      <c r="BC98" s="43">
        <f>'$$xSchpostCouncil 22'!BC98/'$$xSchpostCouncil 22'!BC$123</f>
        <v>0</v>
      </c>
      <c r="BD98" s="43">
        <f>'$$xSchpostCouncil 22'!BD98/'$$xSchpostCouncil 22'!BD$123</f>
        <v>0</v>
      </c>
      <c r="BE98" s="6"/>
      <c r="BF98" s="6"/>
      <c r="BG98" s="6"/>
      <c r="BH98" s="43">
        <f>'$$xSchpostCouncil 22'!BH98/'$$xSchpostCouncil 22'!BH$123</f>
        <v>0</v>
      </c>
      <c r="BI98" s="6"/>
      <c r="BJ98" s="43">
        <f>'$$xSchpostCouncil 22'!BJ98/'$$xSchpostCouncil 22'!BJ$123</f>
        <v>0</v>
      </c>
      <c r="BK98" s="6"/>
      <c r="BL98" s="43">
        <f>'$$xSchpostCouncil 22'!BL98/'$$xSchpostCouncil 22'!BL$123</f>
        <v>0</v>
      </c>
      <c r="BM98" s="6"/>
      <c r="BN98" s="43">
        <f>'$$xSchpostCouncil 22'!BN98/'$$xSchpostCouncil 22'!BN$123</f>
        <v>0</v>
      </c>
      <c r="BO98" s="43">
        <f>'$$xSchpostCouncil 22'!BO98/'$$xSchpostCouncil 22'!BO$123</f>
        <v>0</v>
      </c>
      <c r="BP98" s="6"/>
      <c r="BQ98" s="6"/>
      <c r="BR98" s="6"/>
      <c r="BS98" s="6"/>
      <c r="BT98" s="6"/>
      <c r="BU98" s="43">
        <f>'$$xSchpostCouncil 22'!BU98/'$$xSchpostCouncil 22'!BU$123</f>
        <v>0</v>
      </c>
      <c r="BV98" s="43">
        <f>'$$xSchpostCouncil 22'!BV98/'$$xSchpostCouncil 22'!BV$123</f>
        <v>0</v>
      </c>
      <c r="BW98" s="43">
        <f>'$$xSchpostCouncil 22'!BW98/'$$xSchpostCouncil 22'!BW$123</f>
        <v>0</v>
      </c>
      <c r="BX98" s="6">
        <v>379728</v>
      </c>
      <c r="BY98" s="6"/>
      <c r="BZ98" s="6"/>
      <c r="CA98" s="6"/>
      <c r="CB98" s="6"/>
      <c r="CC98" s="6"/>
      <c r="CD98" s="6"/>
      <c r="CE98" s="6"/>
      <c r="CF98" s="6">
        <v>122769</v>
      </c>
      <c r="CI98" s="43">
        <f>'$$xSchpostCouncil 22'!CI98/'$$xSchpostCouncil 22'!CI$123</f>
        <v>1</v>
      </c>
      <c r="CJ98" s="43">
        <f>'$$xSchpostCouncil 22'!CJ98/'$$xSchpostCouncil 22'!CJ$123</f>
        <v>0.89999936114074708</v>
      </c>
      <c r="CK98" s="43">
        <f>'$$xSchpostCouncil 22'!CK98/'$$xSchpostCouncil 22'!CK$123</f>
        <v>1</v>
      </c>
      <c r="CL98" s="43">
        <f>'$$xSchpostCouncil 22'!CL98/'$$xSchpostCouncil 22'!CL$123</f>
        <v>0</v>
      </c>
      <c r="CM98" s="43">
        <f>'$$xSchpostCouncil 22'!CM98/'$$xSchpostCouncil 22'!CM$123</f>
        <v>0</v>
      </c>
      <c r="CN98" s="43">
        <f>'$$xSchpostCouncil 22'!CN98/'$$xSchpostCouncil 22'!CN$123</f>
        <v>0</v>
      </c>
      <c r="CO98" s="43">
        <f>'$$xSchpostCouncil 22'!CO98/'$$xSchpostCouncil 22'!CO$123</f>
        <v>3</v>
      </c>
      <c r="CP98" s="43">
        <f>'$$xSchpostCouncil 22'!CP98/'$$xSchpostCouncil 22'!CP$123</f>
        <v>3</v>
      </c>
      <c r="CQ98" s="43">
        <f>'$$xSchpostCouncil 22'!CQ98/'$$xSchpostCouncil 22'!CQ$123</f>
        <v>13</v>
      </c>
      <c r="CR98" s="43">
        <f>'$$xSchpostCouncil 22'!CR98/'$$xSchpostCouncil 22'!CR$123</f>
        <v>0</v>
      </c>
      <c r="CS98" s="6"/>
      <c r="CT98" s="6"/>
      <c r="CU98" s="6"/>
      <c r="CV98" s="43">
        <f>'$$xSchpostCouncil 22'!CV98/'$$xSchpostCouncil 22'!CV$123</f>
        <v>0</v>
      </c>
      <c r="CW98" s="43">
        <f>'$$xSchpostCouncil 22'!CW98/'$$xSchpostCouncil 22'!CW$123</f>
        <v>0</v>
      </c>
      <c r="CX98" s="6">
        <v>0</v>
      </c>
      <c r="CY98" s="6"/>
      <c r="CZ98" s="6"/>
      <c r="DB98" s="43">
        <f>'$$xSchpostCouncil 22'!DB98/'$$xSchpostCouncil 22'!DB$123</f>
        <v>1</v>
      </c>
      <c r="DC98" s="43">
        <f>'$$xSchpostCouncil 22'!DC98/'$$xSchpostCouncil 22'!DC$123</f>
        <v>0</v>
      </c>
      <c r="DF98" s="43">
        <f>'$$xSchpostCouncil 22'!DF98/'$$xSchpostCouncil 22'!DF$123</f>
        <v>0</v>
      </c>
      <c r="DG98" s="43">
        <f>'$$xSchpostCouncil 22'!DG98/'$$xSchpostCouncil 22'!DG$123</f>
        <v>1</v>
      </c>
      <c r="DH98" s="43">
        <f>'$$xSchpostCouncil 22'!DH98/'$$xSchpostCouncil 22'!DH$123</f>
        <v>0</v>
      </c>
      <c r="DI98" s="43">
        <f>'$$xSchpostCouncil 22'!DI98/'$$xSchpostCouncil 22'!DI$123</f>
        <v>0</v>
      </c>
      <c r="DJ98" s="43">
        <f>'$$xSchpostCouncil 22'!DJ98/'$$xSchpostCouncil 22'!DJ$123</f>
        <v>0</v>
      </c>
      <c r="DK98" s="43">
        <f>'$$xSchpostCouncil 22'!DK98/'$$xSchpostCouncil 22'!DK$123</f>
        <v>0</v>
      </c>
      <c r="DL98" s="6">
        <v>2993</v>
      </c>
      <c r="DM98" s="6"/>
      <c r="DN98" s="43">
        <f>'$$xSchpostCouncil 22'!DN98/'$$xSchpostCouncil 22'!DN$123</f>
        <v>0</v>
      </c>
      <c r="DO98" s="6"/>
      <c r="DP98" s="6">
        <v>10350</v>
      </c>
      <c r="DU98" s="6">
        <f>VLOOKUP($A98,[3]Totals!$B$2:$K$119,10,FALSE)</f>
        <v>128741.58</v>
      </c>
      <c r="DV98" s="6">
        <f>VLOOKUP($A98,[3]Totals!$B$2:$K$119,9,FALSE)</f>
        <v>112569</v>
      </c>
    </row>
    <row r="99" spans="1:126" x14ac:dyDescent="0.2">
      <c r="A99" s="3">
        <v>313</v>
      </c>
      <c r="B99" s="2" t="s">
        <v>27</v>
      </c>
      <c r="C99" t="s">
        <v>7</v>
      </c>
      <c r="D99">
        <v>4</v>
      </c>
      <c r="E99" s="1">
        <v>366</v>
      </c>
      <c r="F99" s="4">
        <v>0.123</v>
      </c>
      <c r="G99">
        <v>45</v>
      </c>
      <c r="H99" s="43">
        <f>'$$xSchpostCouncil 22'!H99/'$$xSchpostCouncil 22'!H$123</f>
        <v>1</v>
      </c>
      <c r="I99" s="43">
        <f>'$$xSchpostCouncil 22'!I99/'$$xSchpostCouncil 22'!I$123</f>
        <v>0</v>
      </c>
      <c r="J99" s="43">
        <f>'$$xSchpostCouncil 22'!J99/'$$xSchpostCouncil 22'!J$123</f>
        <v>0</v>
      </c>
      <c r="K99" s="43">
        <f>'$$xSchpostCouncil 22'!K99/'$$xSchpostCouncil 22'!K$123</f>
        <v>1</v>
      </c>
      <c r="L99" s="6">
        <v>6102</v>
      </c>
      <c r="M99" s="43">
        <f>'$$xSchpostCouncil 22'!M99/'$$xSchpostCouncil 22'!M$123</f>
        <v>1</v>
      </c>
      <c r="N99" s="43">
        <f>'$$xSchpostCouncil 22'!N99/'$$xSchpostCouncil 22'!N$123</f>
        <v>1</v>
      </c>
      <c r="O99" s="43">
        <f>'$$xSchpostCouncil 22'!O99/'$$xSchpostCouncil 22'!O$123</f>
        <v>2</v>
      </c>
      <c r="P99" s="43">
        <f>'$$xSchpostCouncil 22'!P99/'$$xSchpostCouncil 22'!P$123</f>
        <v>1</v>
      </c>
      <c r="Q99" s="43">
        <f>'$$xSchpostCouncil 22'!Q99/'$$xSchpostCouncil 22'!Q$123</f>
        <v>2</v>
      </c>
      <c r="R99" s="43">
        <f>'$$xSchpostCouncil 22'!R99/'$$xSchpostCouncil 22'!R$123</f>
        <v>0</v>
      </c>
      <c r="S99" s="43">
        <f>'$$xSchpostCouncil 22'!S99/'$$xSchpostCouncil 22'!S$123</f>
        <v>2</v>
      </c>
      <c r="T99" s="43">
        <f>'$$xSchpostCouncil 22'!T99/'$$xSchpostCouncil 22'!T$123</f>
        <v>4</v>
      </c>
      <c r="U99" s="6"/>
      <c r="V99" s="6"/>
      <c r="W99" s="6"/>
      <c r="X99" s="6"/>
      <c r="Y99" s="43">
        <f>'$$xSchpostCouncil 22'!Y99/'$$xSchpostCouncil 22'!Y$123</f>
        <v>0</v>
      </c>
      <c r="Z99" s="43">
        <f>'$$xSchpostCouncil 22'!Z99/'$$xSchpostCouncil 22'!Z$123</f>
        <v>0</v>
      </c>
      <c r="AA99" s="43">
        <f>'$$xSchpostCouncil 22'!AA99/'$$xSchpostCouncil 22'!AA$123</f>
        <v>0</v>
      </c>
      <c r="AB99" s="43">
        <f>'$$xSchpostCouncil 22'!AB99/'$$xSchpostCouncil 22'!AB$123</f>
        <v>0</v>
      </c>
      <c r="AC99" s="6"/>
      <c r="AD99" s="6">
        <v>122887</v>
      </c>
      <c r="AE99" s="43">
        <f>'$$xSchpostCouncil 22'!AE99/'$$xSchpostCouncil 22'!AE$123</f>
        <v>1</v>
      </c>
      <c r="AF99" s="43">
        <f>'$$xSchpostCouncil 22'!AF99/'$$xSchpostCouncil 22'!AF$123</f>
        <v>1</v>
      </c>
      <c r="AG99" s="43">
        <f>'$$xSchpostCouncil 22'!AG99/'$$xSchpostCouncil 22'!AG$123</f>
        <v>3</v>
      </c>
      <c r="AH99" s="43">
        <f>'$$xSchpostCouncil 22'!AH99/'$$xSchpostCouncil 22'!AH$123</f>
        <v>0</v>
      </c>
      <c r="AI99" s="43">
        <f>'$$xSchpostCouncil 22'!AI99/'$$xSchpostCouncil 22'!AI$123</f>
        <v>2</v>
      </c>
      <c r="AJ99" s="43"/>
      <c r="AK99" s="43">
        <f>'$$xSchpostCouncil 22'!AK99/'$$xSchpostCouncil 22'!AK$123</f>
        <v>0</v>
      </c>
      <c r="AL99" s="43">
        <f>'$$xSchpostCouncil 22'!AL99/'$$xSchpostCouncil 22'!AL$123</f>
        <v>0</v>
      </c>
      <c r="AM99" s="6"/>
      <c r="AN99" s="6"/>
      <c r="AO99" s="43">
        <f>'$$xSchpostCouncil 22'!AO99/'$$xSchpostCouncil 22'!AO$123</f>
        <v>1</v>
      </c>
      <c r="AP99" s="43">
        <f>'$$xSchpostCouncil 22'!AP99/'$$xSchpostCouncil 22'!AP$123</f>
        <v>0</v>
      </c>
      <c r="AQ99" s="43">
        <f>'$$xSchpostCouncil 22'!AQ99/'$$xSchpostCouncil 22'!AQ$123</f>
        <v>0</v>
      </c>
      <c r="AR99" s="6"/>
      <c r="AS99" s="6"/>
      <c r="AT99" s="6"/>
      <c r="AU99" s="6"/>
      <c r="AV99" s="6"/>
      <c r="AW99" s="6">
        <v>0</v>
      </c>
      <c r="AX99" s="6"/>
      <c r="AY99" s="6"/>
      <c r="AZ99" s="6">
        <v>0</v>
      </c>
      <c r="BA99" s="6"/>
      <c r="BB99" s="6">
        <v>9150</v>
      </c>
      <c r="BC99" s="43">
        <f>'$$xSchpostCouncil 22'!BC99/'$$xSchpostCouncil 22'!BC$123</f>
        <v>0</v>
      </c>
      <c r="BD99" s="43">
        <f>'$$xSchpostCouncil 22'!BD99/'$$xSchpostCouncil 22'!BD$123</f>
        <v>0</v>
      </c>
      <c r="BE99" s="6"/>
      <c r="BF99" s="6"/>
      <c r="BG99" s="6"/>
      <c r="BH99" s="43">
        <f>'$$xSchpostCouncil 22'!BH99/'$$xSchpostCouncil 22'!BH$123</f>
        <v>1</v>
      </c>
      <c r="BI99" s="6">
        <v>20207</v>
      </c>
      <c r="BJ99" s="43">
        <f>'$$xSchpostCouncil 22'!BJ99/'$$xSchpostCouncil 22'!BJ$123</f>
        <v>0</v>
      </c>
      <c r="BK99" s="6"/>
      <c r="BL99" s="43">
        <f>'$$xSchpostCouncil 22'!BL99/'$$xSchpostCouncil 22'!BL$123</f>
        <v>0</v>
      </c>
      <c r="BM99" s="6"/>
      <c r="BN99" s="43">
        <f>'$$xSchpostCouncil 22'!BN99/'$$xSchpostCouncil 22'!BN$123</f>
        <v>0</v>
      </c>
      <c r="BO99" s="43">
        <f>'$$xSchpostCouncil 22'!BO99/'$$xSchpostCouncil 22'!BO$123</f>
        <v>0</v>
      </c>
      <c r="BP99" s="6"/>
      <c r="BQ99" s="6"/>
      <c r="BR99" s="6"/>
      <c r="BS99" s="6"/>
      <c r="BT99" s="6"/>
      <c r="BU99" s="43">
        <f>'$$xSchpostCouncil 22'!BU99/'$$xSchpostCouncil 22'!BU$123</f>
        <v>0</v>
      </c>
      <c r="BV99" s="43">
        <f>'$$xSchpostCouncil 22'!BV99/'$$xSchpostCouncil 22'!BV$123</f>
        <v>0</v>
      </c>
      <c r="BW99" s="43">
        <f>'$$xSchpostCouncil 22'!BW99/'$$xSchpostCouncil 22'!BW$123</f>
        <v>0</v>
      </c>
      <c r="BX99" s="6">
        <v>113918.54000000001</v>
      </c>
      <c r="BY99" s="6"/>
      <c r="BZ99" s="6"/>
      <c r="CA99" s="6"/>
      <c r="CB99" s="6"/>
      <c r="CC99" s="6">
        <v>4300</v>
      </c>
      <c r="CD99" s="6"/>
      <c r="CE99" s="6"/>
      <c r="CF99" s="6">
        <v>112569</v>
      </c>
      <c r="CI99" s="43">
        <f>'$$xSchpostCouncil 22'!CI99/'$$xSchpostCouncil 22'!CI$123</f>
        <v>1</v>
      </c>
      <c r="CJ99" s="43">
        <f>'$$xSchpostCouncil 22'!CJ99/'$$xSchpostCouncil 22'!CJ$123</f>
        <v>0.89999936114074708</v>
      </c>
      <c r="CK99" s="43">
        <f>'$$xSchpostCouncil 22'!CK99/'$$xSchpostCouncil 22'!CK$123</f>
        <v>1</v>
      </c>
      <c r="CL99" s="43">
        <f>'$$xSchpostCouncil 22'!CL99/'$$xSchpostCouncil 22'!CL$123</f>
        <v>0</v>
      </c>
      <c r="CM99" s="43">
        <f>'$$xSchpostCouncil 22'!CM99/'$$xSchpostCouncil 22'!CM$123</f>
        <v>0</v>
      </c>
      <c r="CN99" s="43">
        <f>'$$xSchpostCouncil 22'!CN99/'$$xSchpostCouncil 22'!CN$123</f>
        <v>0</v>
      </c>
      <c r="CO99" s="43">
        <f>'$$xSchpostCouncil 22'!CO99/'$$xSchpostCouncil 22'!CO$123</f>
        <v>3</v>
      </c>
      <c r="CP99" s="43">
        <f>'$$xSchpostCouncil 22'!CP99/'$$xSchpostCouncil 22'!CP$123</f>
        <v>2</v>
      </c>
      <c r="CQ99" s="43">
        <f>'$$xSchpostCouncil 22'!CQ99/'$$xSchpostCouncil 22'!CQ$123</f>
        <v>13</v>
      </c>
      <c r="CR99" s="43">
        <f>'$$xSchpostCouncil 22'!CR99/'$$xSchpostCouncil 22'!CR$123</f>
        <v>0</v>
      </c>
      <c r="CS99" s="6"/>
      <c r="CT99" s="6"/>
      <c r="CU99" s="6"/>
      <c r="CV99" s="43">
        <f>'$$xSchpostCouncil 22'!CV99/'$$xSchpostCouncil 22'!CV$123</f>
        <v>0</v>
      </c>
      <c r="CW99" s="43">
        <f>'$$xSchpostCouncil 22'!CW99/'$$xSchpostCouncil 22'!CW$123</f>
        <v>0</v>
      </c>
      <c r="CX99" s="6">
        <v>0</v>
      </c>
      <c r="CY99" s="6"/>
      <c r="CZ99" s="6"/>
      <c r="DB99" s="43">
        <f>'$$xSchpostCouncil 22'!DB99/'$$xSchpostCouncil 22'!DB$123</f>
        <v>0</v>
      </c>
      <c r="DC99" s="43">
        <f>'$$xSchpostCouncil 22'!DC99/'$$xSchpostCouncil 22'!DC$123</f>
        <v>0</v>
      </c>
      <c r="DF99" s="43">
        <f>'$$xSchpostCouncil 22'!DF99/'$$xSchpostCouncil 22'!DF$123</f>
        <v>0</v>
      </c>
      <c r="DG99" s="43">
        <f>'$$xSchpostCouncil 22'!DG99/'$$xSchpostCouncil 22'!DG$123</f>
        <v>1</v>
      </c>
      <c r="DH99" s="43">
        <f>'$$xSchpostCouncil 22'!DH99/'$$xSchpostCouncil 22'!DH$123</f>
        <v>0</v>
      </c>
      <c r="DI99" s="43">
        <f>'$$xSchpostCouncil 22'!DI99/'$$xSchpostCouncil 22'!DI$123</f>
        <v>0</v>
      </c>
      <c r="DJ99" s="43">
        <f>'$$xSchpostCouncil 22'!DJ99/'$$xSchpostCouncil 22'!DJ$123</f>
        <v>0</v>
      </c>
      <c r="DK99" s="43">
        <f>'$$xSchpostCouncil 22'!DK99/'$$xSchpostCouncil 22'!DK$123</f>
        <v>0</v>
      </c>
      <c r="DL99" s="6"/>
      <c r="DM99" s="6"/>
      <c r="DN99" s="43">
        <f>'$$xSchpostCouncil 22'!DN99/'$$xSchpostCouncil 22'!DN$123</f>
        <v>0</v>
      </c>
      <c r="DO99" s="6"/>
      <c r="DP99" s="6">
        <v>4900</v>
      </c>
      <c r="DU99" s="6">
        <f>VLOOKUP($A99,[3]Totals!$B$2:$K$119,10,FALSE)</f>
        <v>39110.400000000001</v>
      </c>
      <c r="DV99" s="6">
        <f>VLOOKUP($A99,[3]Totals!$B$2:$K$119,9,FALSE)</f>
        <v>76024</v>
      </c>
    </row>
    <row r="100" spans="1:126" x14ac:dyDescent="0.2">
      <c r="A100" s="3">
        <v>315</v>
      </c>
      <c r="B100" s="2" t="s">
        <v>26</v>
      </c>
      <c r="C100" t="s">
        <v>7</v>
      </c>
      <c r="D100">
        <v>8</v>
      </c>
      <c r="E100" s="1">
        <v>236</v>
      </c>
      <c r="F100" s="4">
        <v>0.72499999999999998</v>
      </c>
      <c r="G100">
        <v>171</v>
      </c>
      <c r="H100" s="43">
        <f>'$$xSchpostCouncil 22'!H100/'$$xSchpostCouncil 22'!H$123</f>
        <v>1</v>
      </c>
      <c r="I100" s="43">
        <f>'$$xSchpostCouncil 22'!I100/'$$xSchpostCouncil 22'!I$123</f>
        <v>0</v>
      </c>
      <c r="J100" s="43">
        <f>'$$xSchpostCouncil 22'!J100/'$$xSchpostCouncil 22'!J$123</f>
        <v>0</v>
      </c>
      <c r="K100" s="43">
        <f>'$$xSchpostCouncil 22'!K100/'$$xSchpostCouncil 22'!K$123</f>
        <v>1</v>
      </c>
      <c r="L100" s="6">
        <v>4860</v>
      </c>
      <c r="M100" s="43">
        <f>'$$xSchpostCouncil 22'!M100/'$$xSchpostCouncil 22'!M$123</f>
        <v>1</v>
      </c>
      <c r="N100" s="43">
        <f>'$$xSchpostCouncil 22'!N100/'$$xSchpostCouncil 22'!N$123</f>
        <v>1</v>
      </c>
      <c r="O100" s="43">
        <f>'$$xSchpostCouncil 22'!O100/'$$xSchpostCouncil 22'!O$123</f>
        <v>1</v>
      </c>
      <c r="P100" s="43">
        <f>'$$xSchpostCouncil 22'!P100/'$$xSchpostCouncil 22'!P$123</f>
        <v>1.0000006218408266</v>
      </c>
      <c r="Q100" s="43">
        <f>'$$xSchpostCouncil 22'!Q100/'$$xSchpostCouncil 22'!Q$123</f>
        <v>1</v>
      </c>
      <c r="R100" s="43">
        <f>'$$xSchpostCouncil 22'!R100/'$$xSchpostCouncil 22'!R$123</f>
        <v>1</v>
      </c>
      <c r="S100" s="43">
        <f>'$$xSchpostCouncil 22'!S100/'$$xSchpostCouncil 22'!S$123</f>
        <v>1</v>
      </c>
      <c r="T100" s="43">
        <f>'$$xSchpostCouncil 22'!T100/'$$xSchpostCouncil 22'!T$123</f>
        <v>3</v>
      </c>
      <c r="U100" s="6"/>
      <c r="V100" s="6"/>
      <c r="W100" s="6"/>
      <c r="X100" s="6"/>
      <c r="Y100" s="43">
        <f>'$$xSchpostCouncil 22'!Y100/'$$xSchpostCouncil 22'!Y$123</f>
        <v>0</v>
      </c>
      <c r="Z100" s="43">
        <f>'$$xSchpostCouncil 22'!Z100/'$$xSchpostCouncil 22'!Z$123</f>
        <v>0</v>
      </c>
      <c r="AA100" s="43">
        <f>'$$xSchpostCouncil 22'!AA100/'$$xSchpostCouncil 22'!AA$123</f>
        <v>0</v>
      </c>
      <c r="AB100" s="43">
        <f>'$$xSchpostCouncil 22'!AB100/'$$xSchpostCouncil 22'!AB$123</f>
        <v>0</v>
      </c>
      <c r="AC100" s="6"/>
      <c r="AD100" s="6">
        <v>94261</v>
      </c>
      <c r="AE100" s="43">
        <f>'$$xSchpostCouncil 22'!AE100/'$$xSchpostCouncil 22'!AE$123</f>
        <v>1</v>
      </c>
      <c r="AF100" s="43">
        <f>'$$xSchpostCouncil 22'!AF100/'$$xSchpostCouncil 22'!AF$123</f>
        <v>1</v>
      </c>
      <c r="AG100" s="43">
        <f>'$$xSchpostCouncil 22'!AG100/'$$xSchpostCouncil 22'!AG$123</f>
        <v>5</v>
      </c>
      <c r="AH100" s="43">
        <f>'$$xSchpostCouncil 22'!AH100/'$$xSchpostCouncil 22'!AH$123</f>
        <v>0</v>
      </c>
      <c r="AI100" s="43">
        <f>'$$xSchpostCouncil 22'!AI100/'$$xSchpostCouncil 22'!AI$123</f>
        <v>4</v>
      </c>
      <c r="AJ100" s="43"/>
      <c r="AK100" s="43">
        <f>'$$xSchpostCouncil 22'!AK100/'$$xSchpostCouncil 22'!AK$123</f>
        <v>0</v>
      </c>
      <c r="AL100" s="43">
        <f>'$$xSchpostCouncil 22'!AL100/'$$xSchpostCouncil 22'!AL$123</f>
        <v>0</v>
      </c>
      <c r="AM100" s="6"/>
      <c r="AN100" s="6"/>
      <c r="AO100" s="43">
        <f>'$$xSchpostCouncil 22'!AO100/'$$xSchpostCouncil 22'!AO$123</f>
        <v>1</v>
      </c>
      <c r="AP100" s="43">
        <f>'$$xSchpostCouncil 22'!AP100/'$$xSchpostCouncil 22'!AP$123</f>
        <v>0</v>
      </c>
      <c r="AQ100" s="43">
        <f>'$$xSchpostCouncil 22'!AQ100/'$$xSchpostCouncil 22'!AQ$123</f>
        <v>0</v>
      </c>
      <c r="AR100" s="6"/>
      <c r="AS100" s="6"/>
      <c r="AT100" s="6"/>
      <c r="AU100" s="6"/>
      <c r="AV100" s="6"/>
      <c r="AW100" s="6">
        <v>0</v>
      </c>
      <c r="AX100" s="6"/>
      <c r="AY100" s="6"/>
      <c r="AZ100" s="6">
        <v>107007.85999999999</v>
      </c>
      <c r="BA100" s="6"/>
      <c r="BB100" s="6"/>
      <c r="BC100" s="43">
        <f>'$$xSchpostCouncil 22'!BC100/'$$xSchpostCouncil 22'!BC$123</f>
        <v>0</v>
      </c>
      <c r="BD100" s="43">
        <f>'$$xSchpostCouncil 22'!BD100/'$$xSchpostCouncil 22'!BD$123</f>
        <v>0</v>
      </c>
      <c r="BE100" s="6"/>
      <c r="BF100" s="6"/>
      <c r="BG100" s="6"/>
      <c r="BH100" s="43">
        <f>'$$xSchpostCouncil 22'!BH100/'$$xSchpostCouncil 22'!BH$123</f>
        <v>0</v>
      </c>
      <c r="BI100" s="6"/>
      <c r="BJ100" s="43">
        <f>'$$xSchpostCouncil 22'!BJ100/'$$xSchpostCouncil 22'!BJ$123</f>
        <v>0</v>
      </c>
      <c r="BK100" s="6"/>
      <c r="BL100" s="43">
        <f>'$$xSchpostCouncil 22'!BL100/'$$xSchpostCouncil 22'!BL$123</f>
        <v>0</v>
      </c>
      <c r="BM100" s="6"/>
      <c r="BN100" s="43">
        <f>'$$xSchpostCouncil 22'!BN100/'$$xSchpostCouncil 22'!BN$123</f>
        <v>0</v>
      </c>
      <c r="BO100" s="43">
        <f>'$$xSchpostCouncil 22'!BO100/'$$xSchpostCouncil 22'!BO$123</f>
        <v>0</v>
      </c>
      <c r="BP100" s="6"/>
      <c r="BQ100" s="6"/>
      <c r="BR100" s="6">
        <v>13859</v>
      </c>
      <c r="BS100" s="6"/>
      <c r="BT100" s="6"/>
      <c r="BU100" s="43">
        <f>'$$xSchpostCouncil 22'!BU100/'$$xSchpostCouncil 22'!BU$123</f>
        <v>0</v>
      </c>
      <c r="BV100" s="43">
        <f>'$$xSchpostCouncil 22'!BV100/'$$xSchpostCouncil 22'!BV$123</f>
        <v>0</v>
      </c>
      <c r="BW100" s="43">
        <f>'$$xSchpostCouncil 22'!BW100/'$$xSchpostCouncil 22'!BW$123</f>
        <v>0</v>
      </c>
      <c r="BX100" s="6">
        <v>432889.57</v>
      </c>
      <c r="BY100" s="6"/>
      <c r="BZ100" s="6"/>
      <c r="CA100" s="6"/>
      <c r="CB100" s="6"/>
      <c r="CC100" s="6">
        <v>130766</v>
      </c>
      <c r="CD100" s="6"/>
      <c r="CE100" s="6">
        <v>112569</v>
      </c>
      <c r="CF100" s="6">
        <v>112569</v>
      </c>
      <c r="CI100" s="43">
        <f>'$$xSchpostCouncil 22'!CI100/'$$xSchpostCouncil 22'!CI$123</f>
        <v>1</v>
      </c>
      <c r="CJ100" s="43">
        <f>'$$xSchpostCouncil 22'!CJ100/'$$xSchpostCouncil 22'!CJ$123</f>
        <v>0</v>
      </c>
      <c r="CK100" s="43">
        <f>'$$xSchpostCouncil 22'!CK100/'$$xSchpostCouncil 22'!CK$123</f>
        <v>0.50000550182110282</v>
      </c>
      <c r="CL100" s="43">
        <f>'$$xSchpostCouncil 22'!CL100/'$$xSchpostCouncil 22'!CL$123</f>
        <v>0</v>
      </c>
      <c r="CM100" s="43">
        <f>'$$xSchpostCouncil 22'!CM100/'$$xSchpostCouncil 22'!CM$123</f>
        <v>0</v>
      </c>
      <c r="CN100" s="43">
        <f>'$$xSchpostCouncil 22'!CN100/'$$xSchpostCouncil 22'!CN$123</f>
        <v>0</v>
      </c>
      <c r="CO100" s="43">
        <f>'$$xSchpostCouncil 22'!CO100/'$$xSchpostCouncil 22'!CO$123</f>
        <v>3</v>
      </c>
      <c r="CP100" s="43">
        <f>'$$xSchpostCouncil 22'!CP100/'$$xSchpostCouncil 22'!CP$123</f>
        <v>1</v>
      </c>
      <c r="CQ100" s="43">
        <f>'$$xSchpostCouncil 22'!CQ100/'$$xSchpostCouncil 22'!CQ$123</f>
        <v>11</v>
      </c>
      <c r="CR100" s="43">
        <f>'$$xSchpostCouncil 22'!CR100/'$$xSchpostCouncil 22'!CR$123</f>
        <v>0</v>
      </c>
      <c r="CS100" s="6"/>
      <c r="CT100" s="6"/>
      <c r="CU100" s="6"/>
      <c r="CV100" s="43">
        <f>'$$xSchpostCouncil 22'!CV100/'$$xSchpostCouncil 22'!CV$123</f>
        <v>0</v>
      </c>
      <c r="CW100" s="43">
        <f>'$$xSchpostCouncil 22'!CW100/'$$xSchpostCouncil 22'!CW$123</f>
        <v>0</v>
      </c>
      <c r="CX100" s="6">
        <v>0</v>
      </c>
      <c r="CY100" s="6">
        <v>75000</v>
      </c>
      <c r="CZ100" s="6"/>
      <c r="DB100" s="43">
        <f>'$$xSchpostCouncil 22'!DB100/'$$xSchpostCouncil 22'!DB$123</f>
        <v>0</v>
      </c>
      <c r="DC100" s="43">
        <f>'$$xSchpostCouncil 22'!DC100/'$$xSchpostCouncil 22'!DC$123</f>
        <v>0</v>
      </c>
      <c r="DF100" s="43">
        <f>'$$xSchpostCouncil 22'!DF100/'$$xSchpostCouncil 22'!DF$123</f>
        <v>0</v>
      </c>
      <c r="DG100" s="43">
        <f>'$$xSchpostCouncil 22'!DG100/'$$xSchpostCouncil 22'!DG$123</f>
        <v>0</v>
      </c>
      <c r="DH100" s="43">
        <f>'$$xSchpostCouncil 22'!DH100/'$$xSchpostCouncil 22'!DH$123</f>
        <v>0</v>
      </c>
      <c r="DI100" s="43">
        <f>'$$xSchpostCouncil 22'!DI100/'$$xSchpostCouncil 22'!DI$123</f>
        <v>0</v>
      </c>
      <c r="DJ100" s="43">
        <f>'$$xSchpostCouncil 22'!DJ100/'$$xSchpostCouncil 22'!DJ$123</f>
        <v>0</v>
      </c>
      <c r="DK100" s="43">
        <f>'$$xSchpostCouncil 22'!DK100/'$$xSchpostCouncil 22'!DK$123</f>
        <v>0</v>
      </c>
      <c r="DL100" s="6">
        <v>3440</v>
      </c>
      <c r="DM100" s="6"/>
      <c r="DN100" s="43">
        <f>'$$xSchpostCouncil 22'!DN100/'$$xSchpostCouncil 22'!DN$123</f>
        <v>0</v>
      </c>
      <c r="DO100" s="6"/>
      <c r="DP100" s="6">
        <v>19500</v>
      </c>
      <c r="DU100" s="6">
        <f>VLOOKUP($A100,[3]Totals!$B$2:$K$119,10,FALSE)</f>
        <v>124987.78</v>
      </c>
      <c r="DV100" s="6">
        <f>VLOOKUP($A100,[3]Totals!$B$2:$K$119,9,FALSE)</f>
        <v>379713</v>
      </c>
    </row>
    <row r="101" spans="1:126" x14ac:dyDescent="0.2">
      <c r="A101" s="3">
        <v>322</v>
      </c>
      <c r="B101" s="2" t="s">
        <v>25</v>
      </c>
      <c r="C101" t="s">
        <v>7</v>
      </c>
      <c r="D101">
        <v>7</v>
      </c>
      <c r="E101" s="1">
        <v>234</v>
      </c>
      <c r="F101" s="4">
        <v>0.75600000000000001</v>
      </c>
      <c r="G101">
        <v>177</v>
      </c>
      <c r="H101" s="43">
        <f>'$$xSchpostCouncil 22'!H101/'$$xSchpostCouncil 22'!H$123</f>
        <v>1</v>
      </c>
      <c r="I101" s="43">
        <f>'$$xSchpostCouncil 22'!I101/'$$xSchpostCouncil 22'!I$123</f>
        <v>0</v>
      </c>
      <c r="J101" s="43">
        <f>'$$xSchpostCouncil 22'!J101/'$$xSchpostCouncil 22'!J$123</f>
        <v>0</v>
      </c>
      <c r="K101" s="43">
        <f>'$$xSchpostCouncil 22'!K101/'$$xSchpostCouncil 22'!K$123</f>
        <v>1</v>
      </c>
      <c r="L101" s="6">
        <v>3949</v>
      </c>
      <c r="M101" s="43">
        <f>'$$xSchpostCouncil 22'!M101/'$$xSchpostCouncil 22'!M$123</f>
        <v>1</v>
      </c>
      <c r="N101" s="43">
        <f>'$$xSchpostCouncil 22'!N101/'$$xSchpostCouncil 22'!N$123</f>
        <v>1</v>
      </c>
      <c r="O101" s="43">
        <f>'$$xSchpostCouncil 22'!O101/'$$xSchpostCouncil 22'!O$123</f>
        <v>1</v>
      </c>
      <c r="P101" s="43">
        <f>'$$xSchpostCouncil 22'!P101/'$$xSchpostCouncil 22'!P$123</f>
        <v>1.0000006218408266</v>
      </c>
      <c r="Q101" s="43">
        <f>'$$xSchpostCouncil 22'!Q101/'$$xSchpostCouncil 22'!Q$123</f>
        <v>2</v>
      </c>
      <c r="R101" s="43">
        <f>'$$xSchpostCouncil 22'!R101/'$$xSchpostCouncil 22'!R$123</f>
        <v>0</v>
      </c>
      <c r="S101" s="43">
        <f>'$$xSchpostCouncil 22'!S101/'$$xSchpostCouncil 22'!S$123</f>
        <v>2</v>
      </c>
      <c r="T101" s="43">
        <f>'$$xSchpostCouncil 22'!T101/'$$xSchpostCouncil 22'!T$123</f>
        <v>4</v>
      </c>
      <c r="U101" s="6"/>
      <c r="V101" s="6"/>
      <c r="W101" s="6"/>
      <c r="X101" s="6"/>
      <c r="Y101" s="43">
        <f>'$$xSchpostCouncil 22'!Y101/'$$xSchpostCouncil 22'!Y$123</f>
        <v>0</v>
      </c>
      <c r="Z101" s="43">
        <f>'$$xSchpostCouncil 22'!Z101/'$$xSchpostCouncil 22'!Z$123</f>
        <v>0</v>
      </c>
      <c r="AA101" s="43">
        <f>'$$xSchpostCouncil 22'!AA101/'$$xSchpostCouncil 22'!AA$123</f>
        <v>0</v>
      </c>
      <c r="AB101" s="43">
        <f>'$$xSchpostCouncil 22'!AB101/'$$xSchpostCouncil 22'!AB$123</f>
        <v>0</v>
      </c>
      <c r="AC101" s="6"/>
      <c r="AD101" s="6">
        <v>96998</v>
      </c>
      <c r="AE101" s="43">
        <f>'$$xSchpostCouncil 22'!AE101/'$$xSchpostCouncil 22'!AE$123</f>
        <v>1</v>
      </c>
      <c r="AF101" s="43">
        <f>'$$xSchpostCouncil 22'!AF101/'$$xSchpostCouncil 22'!AF$123</f>
        <v>1</v>
      </c>
      <c r="AG101" s="43">
        <f>'$$xSchpostCouncil 22'!AG101/'$$xSchpostCouncil 22'!AG$123</f>
        <v>6</v>
      </c>
      <c r="AH101" s="43">
        <f>'$$xSchpostCouncil 22'!AH101/'$$xSchpostCouncil 22'!AH$123</f>
        <v>0</v>
      </c>
      <c r="AI101" s="43">
        <f>'$$xSchpostCouncil 22'!AI101/'$$xSchpostCouncil 22'!AI$123</f>
        <v>4</v>
      </c>
      <c r="AJ101" s="43"/>
      <c r="AK101" s="43">
        <f>'$$xSchpostCouncil 22'!AK101/'$$xSchpostCouncil 22'!AK$123</f>
        <v>0</v>
      </c>
      <c r="AL101" s="43">
        <f>'$$xSchpostCouncil 22'!AL101/'$$xSchpostCouncil 22'!AL$123</f>
        <v>0</v>
      </c>
      <c r="AM101" s="6"/>
      <c r="AN101" s="6"/>
      <c r="AO101" s="43">
        <f>'$$xSchpostCouncil 22'!AO101/'$$xSchpostCouncil 22'!AO$123</f>
        <v>1</v>
      </c>
      <c r="AP101" s="43">
        <f>'$$xSchpostCouncil 22'!AP101/'$$xSchpostCouncil 22'!AP$123</f>
        <v>0</v>
      </c>
      <c r="AQ101" s="43">
        <f>'$$xSchpostCouncil 22'!AQ101/'$$xSchpostCouncil 22'!AQ$123</f>
        <v>0</v>
      </c>
      <c r="AR101" s="6"/>
      <c r="AS101" s="6">
        <f>27200-13600</f>
        <v>13600</v>
      </c>
      <c r="AT101" s="6">
        <f>27200-23800</f>
        <v>3400</v>
      </c>
      <c r="AU101" s="6">
        <v>10200</v>
      </c>
      <c r="AV101" s="6"/>
      <c r="AW101" s="6">
        <v>37400</v>
      </c>
      <c r="AX101" s="6"/>
      <c r="AY101" s="6"/>
      <c r="AZ101" s="6">
        <v>106102.7</v>
      </c>
      <c r="BA101" s="6"/>
      <c r="BB101" s="6"/>
      <c r="BC101" s="43">
        <f>'$$xSchpostCouncil 22'!BC101/'$$xSchpostCouncil 22'!BC$123</f>
        <v>0</v>
      </c>
      <c r="BD101" s="43">
        <f>'$$xSchpostCouncil 22'!BD101/'$$xSchpostCouncil 22'!BD$123</f>
        <v>0</v>
      </c>
      <c r="BE101" s="6"/>
      <c r="BF101" s="6"/>
      <c r="BG101" s="6"/>
      <c r="BH101" s="43">
        <f>'$$xSchpostCouncil 22'!BH101/'$$xSchpostCouncil 22'!BH$123</f>
        <v>0</v>
      </c>
      <c r="BI101" s="6"/>
      <c r="BJ101" s="43">
        <f>'$$xSchpostCouncil 22'!BJ101/'$$xSchpostCouncil 22'!BJ$123</f>
        <v>0</v>
      </c>
      <c r="BK101" s="6"/>
      <c r="BL101" s="43">
        <f>'$$xSchpostCouncil 22'!BL101/'$$xSchpostCouncil 22'!BL$123</f>
        <v>0</v>
      </c>
      <c r="BM101" s="6"/>
      <c r="BN101" s="43">
        <f>'$$xSchpostCouncil 22'!BN101/'$$xSchpostCouncil 22'!BN$123</f>
        <v>0</v>
      </c>
      <c r="BO101" s="43">
        <f>'$$xSchpostCouncil 22'!BO101/'$$xSchpostCouncil 22'!BO$123</f>
        <v>0</v>
      </c>
      <c r="BP101" s="6"/>
      <c r="BQ101" s="6"/>
      <c r="BR101" s="6"/>
      <c r="BS101" s="6"/>
      <c r="BT101" s="6"/>
      <c r="BU101" s="43">
        <f>'$$xSchpostCouncil 22'!BU101/'$$xSchpostCouncil 22'!BU$123</f>
        <v>0</v>
      </c>
      <c r="BV101" s="43">
        <f>'$$xSchpostCouncil 22'!BV101/'$$xSchpostCouncil 22'!BV$123</f>
        <v>0</v>
      </c>
      <c r="BW101" s="43">
        <f>'$$xSchpostCouncil 22'!BW101/'$$xSchpostCouncil 22'!BW$123</f>
        <v>0</v>
      </c>
      <c r="BX101" s="6">
        <v>448078.08999999997</v>
      </c>
      <c r="BY101" s="6"/>
      <c r="BZ101" s="6"/>
      <c r="CA101" s="6"/>
      <c r="CB101" s="6"/>
      <c r="CC101" s="6">
        <v>379075</v>
      </c>
      <c r="CD101" s="6"/>
      <c r="CE101" s="6">
        <v>112569</v>
      </c>
      <c r="CF101" s="6">
        <v>0</v>
      </c>
      <c r="CI101" s="43">
        <f>'$$xSchpostCouncil 22'!CI101/'$$xSchpostCouncil 22'!CI$123</f>
        <v>1</v>
      </c>
      <c r="CJ101" s="43">
        <f>'$$xSchpostCouncil 22'!CJ101/'$$xSchpostCouncil 22'!CJ$123</f>
        <v>0</v>
      </c>
      <c r="CK101" s="43">
        <f>'$$xSchpostCouncil 22'!CK101/'$$xSchpostCouncil 22'!CK$123</f>
        <v>0.50000550182110282</v>
      </c>
      <c r="CL101" s="43">
        <f>'$$xSchpostCouncil 22'!CL101/'$$xSchpostCouncil 22'!CL$123</f>
        <v>0</v>
      </c>
      <c r="CM101" s="43">
        <f>'$$xSchpostCouncil 22'!CM101/'$$xSchpostCouncil 22'!CM$123</f>
        <v>0</v>
      </c>
      <c r="CN101" s="43">
        <f>'$$xSchpostCouncil 22'!CN101/'$$xSchpostCouncil 22'!CN$123</f>
        <v>0</v>
      </c>
      <c r="CO101" s="43">
        <f>'$$xSchpostCouncil 22'!CO101/'$$xSchpostCouncil 22'!CO$123</f>
        <v>3</v>
      </c>
      <c r="CP101" s="43">
        <f>'$$xSchpostCouncil 22'!CP101/'$$xSchpostCouncil 22'!CP$123</f>
        <v>2</v>
      </c>
      <c r="CQ101" s="43">
        <f>'$$xSchpostCouncil 22'!CQ101/'$$xSchpostCouncil 22'!CQ$123</f>
        <v>10</v>
      </c>
      <c r="CR101" s="43">
        <f>'$$xSchpostCouncil 22'!CR101/'$$xSchpostCouncil 22'!CR$123</f>
        <v>0</v>
      </c>
      <c r="CS101" s="6"/>
      <c r="CT101" s="6"/>
      <c r="CU101" s="6"/>
      <c r="CV101" s="43">
        <f>'$$xSchpostCouncil 22'!CV101/'$$xSchpostCouncil 22'!CV$123</f>
        <v>0</v>
      </c>
      <c r="CW101" s="43">
        <f>'$$xSchpostCouncil 22'!CW101/'$$xSchpostCouncil 22'!CW$123</f>
        <v>0</v>
      </c>
      <c r="CX101" s="6">
        <v>0</v>
      </c>
      <c r="CY101" s="6">
        <v>75000</v>
      </c>
      <c r="CZ101" s="6"/>
      <c r="DB101" s="43">
        <f>'$$xSchpostCouncil 22'!DB101/'$$xSchpostCouncil 22'!DB$123</f>
        <v>0</v>
      </c>
      <c r="DC101" s="43">
        <f>'$$xSchpostCouncil 22'!DC101/'$$xSchpostCouncil 22'!DC$123</f>
        <v>0</v>
      </c>
      <c r="DF101" s="43">
        <f>'$$xSchpostCouncil 22'!DF101/'$$xSchpostCouncil 22'!DF$123</f>
        <v>0</v>
      </c>
      <c r="DG101" s="43">
        <f>'$$xSchpostCouncil 22'!DG101/'$$xSchpostCouncil 22'!DG$123</f>
        <v>0</v>
      </c>
      <c r="DH101" s="43">
        <f>'$$xSchpostCouncil 22'!DH101/'$$xSchpostCouncil 22'!DH$123</f>
        <v>0</v>
      </c>
      <c r="DI101" s="43">
        <f>'$$xSchpostCouncil 22'!DI101/'$$xSchpostCouncil 22'!DI$123</f>
        <v>0</v>
      </c>
      <c r="DJ101" s="43">
        <f>'$$xSchpostCouncil 22'!DJ101/'$$xSchpostCouncil 22'!DJ$123</f>
        <v>0</v>
      </c>
      <c r="DK101" s="43">
        <f>'$$xSchpostCouncil 22'!DK101/'$$xSchpostCouncil 22'!DK$123</f>
        <v>0</v>
      </c>
      <c r="DL101" s="6">
        <v>7137</v>
      </c>
      <c r="DM101" s="6"/>
      <c r="DN101" s="43">
        <f>'$$xSchpostCouncil 22'!DN101/'$$xSchpostCouncil 22'!DN$123</f>
        <v>0</v>
      </c>
      <c r="DO101" s="6"/>
      <c r="DP101" s="6">
        <v>12650</v>
      </c>
      <c r="DU101" s="6">
        <f>VLOOKUP($A101,[3]Totals!$B$2:$K$119,10,FALSE)</f>
        <v>160553.46</v>
      </c>
      <c r="DV101" s="6">
        <f>VLOOKUP($A101,[3]Totals!$B$2:$K$119,9,FALSE)</f>
        <v>182875</v>
      </c>
    </row>
    <row r="102" spans="1:126" x14ac:dyDescent="0.2">
      <c r="A102" s="3">
        <v>427</v>
      </c>
      <c r="B102" s="2" t="s">
        <v>24</v>
      </c>
      <c r="C102" t="s">
        <v>19</v>
      </c>
      <c r="D102">
        <v>7</v>
      </c>
      <c r="E102" s="1">
        <v>276</v>
      </c>
      <c r="F102" s="4">
        <v>0.72499999999999998</v>
      </c>
      <c r="G102">
        <v>200</v>
      </c>
      <c r="H102" s="43">
        <f>'$$xSchpostCouncil 22'!H102/'$$xSchpostCouncil 22'!H$123</f>
        <v>1</v>
      </c>
      <c r="I102" s="43">
        <f>'$$xSchpostCouncil 22'!I102/'$$xSchpostCouncil 22'!I$123</f>
        <v>1</v>
      </c>
      <c r="J102" s="43">
        <f>'$$xSchpostCouncil 22'!J102/'$$xSchpostCouncil 22'!J$123</f>
        <v>0</v>
      </c>
      <c r="K102" s="43">
        <f>'$$xSchpostCouncil 22'!K102/'$$xSchpostCouncil 22'!K$123</f>
        <v>1</v>
      </c>
      <c r="L102" s="6">
        <v>5251</v>
      </c>
      <c r="M102" s="43">
        <f>'$$xSchpostCouncil 22'!M102/'$$xSchpostCouncil 22'!M$123</f>
        <v>1</v>
      </c>
      <c r="N102" s="43">
        <f>'$$xSchpostCouncil 22'!N102/'$$xSchpostCouncil 22'!N$123</f>
        <v>1</v>
      </c>
      <c r="O102" s="43">
        <f>'$$xSchpostCouncil 22'!O102/'$$xSchpostCouncil 22'!O$123</f>
        <v>3</v>
      </c>
      <c r="P102" s="43">
        <f>'$$xSchpostCouncil 22'!P102/'$$xSchpostCouncil 22'!P$123</f>
        <v>1.0000006218408266</v>
      </c>
      <c r="Q102" s="43">
        <f>'$$xSchpostCouncil 22'!Q102/'$$xSchpostCouncil 22'!Q$123</f>
        <v>0</v>
      </c>
      <c r="R102" s="43">
        <f>'$$xSchpostCouncil 22'!R102/'$$xSchpostCouncil 22'!R$123</f>
        <v>0</v>
      </c>
      <c r="S102" s="43">
        <f>'$$xSchpostCouncil 22'!S102/'$$xSchpostCouncil 22'!S$123</f>
        <v>0</v>
      </c>
      <c r="T102" s="43">
        <f>'$$xSchpostCouncil 22'!T102/'$$xSchpostCouncil 22'!T$123</f>
        <v>0</v>
      </c>
      <c r="U102" s="6"/>
      <c r="V102" s="6"/>
      <c r="W102" s="6"/>
      <c r="X102" s="6"/>
      <c r="Y102" s="43">
        <f>'$$xSchpostCouncil 22'!Y102/'$$xSchpostCouncil 22'!Y$123</f>
        <v>0</v>
      </c>
      <c r="Z102" s="43">
        <f>'$$xSchpostCouncil 22'!Z102/'$$xSchpostCouncil 22'!Z$123</f>
        <v>0</v>
      </c>
      <c r="AA102" s="43">
        <f>'$$xSchpostCouncil 22'!AA102/'$$xSchpostCouncil 22'!AA$123</f>
        <v>0</v>
      </c>
      <c r="AB102" s="43">
        <f>'$$xSchpostCouncil 22'!AB102/'$$xSchpostCouncil 22'!AB$123</f>
        <v>0</v>
      </c>
      <c r="AC102" s="6"/>
      <c r="AD102" s="6">
        <v>119290</v>
      </c>
      <c r="AE102" s="43">
        <f>'$$xSchpostCouncil 22'!AE102/'$$xSchpostCouncil 22'!AE$123</f>
        <v>1</v>
      </c>
      <c r="AF102" s="43">
        <f>'$$xSchpostCouncil 22'!AF102/'$$xSchpostCouncil 22'!AF$123</f>
        <v>1</v>
      </c>
      <c r="AG102" s="43">
        <f>'$$xSchpostCouncil 22'!AG102/'$$xSchpostCouncil 22'!AG$123</f>
        <v>11</v>
      </c>
      <c r="AH102" s="43">
        <f>'$$xSchpostCouncil 22'!AH102/'$$xSchpostCouncil 22'!AH$123</f>
        <v>0</v>
      </c>
      <c r="AI102" s="43">
        <f>'$$xSchpostCouncil 22'!AI102/'$$xSchpostCouncil 22'!AI$123</f>
        <v>6</v>
      </c>
      <c r="AJ102" s="43"/>
      <c r="AK102" s="43">
        <f>'$$xSchpostCouncil 22'!AK102/'$$xSchpostCouncil 22'!AK$123</f>
        <v>0</v>
      </c>
      <c r="AL102" s="43">
        <f>'$$xSchpostCouncil 22'!AL102/'$$xSchpostCouncil 22'!AL$123</f>
        <v>0</v>
      </c>
      <c r="AM102" s="6"/>
      <c r="AN102" s="6"/>
      <c r="AO102" s="43">
        <f>'$$xSchpostCouncil 22'!AO102/'$$xSchpostCouncil 22'!AO$123</f>
        <v>0</v>
      </c>
      <c r="AP102" s="43">
        <f>'$$xSchpostCouncil 22'!AP102/'$$xSchpostCouncil 22'!AP$123</f>
        <v>0</v>
      </c>
      <c r="AQ102" s="43">
        <f>'$$xSchpostCouncil 22'!AQ102/'$$xSchpostCouncil 22'!AQ$123</f>
        <v>0</v>
      </c>
      <c r="AR102" s="6"/>
      <c r="AS102" s="6"/>
      <c r="AT102" s="6"/>
      <c r="AU102" s="6"/>
      <c r="AV102" s="6"/>
      <c r="AW102" s="6">
        <v>0</v>
      </c>
      <c r="AX102" s="6"/>
      <c r="AY102" s="6"/>
      <c r="AZ102" s="6">
        <v>125149.6</v>
      </c>
      <c r="BA102" s="6"/>
      <c r="BB102" s="6"/>
      <c r="BC102" s="43">
        <f>'$$xSchpostCouncil 22'!BC102/'$$xSchpostCouncil 22'!BC$123</f>
        <v>0</v>
      </c>
      <c r="BD102" s="43">
        <f>'$$xSchpostCouncil 22'!BD102/'$$xSchpostCouncil 22'!BD$123</f>
        <v>0</v>
      </c>
      <c r="BE102" s="6"/>
      <c r="BF102" s="6"/>
      <c r="BG102" s="6"/>
      <c r="BH102" s="43">
        <f>'$$xSchpostCouncil 22'!BH102/'$$xSchpostCouncil 22'!BH$123</f>
        <v>0</v>
      </c>
      <c r="BI102" s="6"/>
      <c r="BJ102" s="43">
        <f>'$$xSchpostCouncil 22'!BJ102/'$$xSchpostCouncil 22'!BJ$123</f>
        <v>0</v>
      </c>
      <c r="BK102" s="6"/>
      <c r="BL102" s="43">
        <f>'$$xSchpostCouncil 22'!BL102/'$$xSchpostCouncil 22'!BL$123</f>
        <v>0</v>
      </c>
      <c r="BM102" s="6"/>
      <c r="BN102" s="43">
        <f>'$$xSchpostCouncil 22'!BN102/'$$xSchpostCouncil 22'!BN$123</f>
        <v>0</v>
      </c>
      <c r="BO102" s="43">
        <f>'$$xSchpostCouncil 22'!BO102/'$$xSchpostCouncil 22'!BO$123</f>
        <v>0</v>
      </c>
      <c r="BP102" s="6"/>
      <c r="BQ102" s="6"/>
      <c r="BR102" s="6"/>
      <c r="BS102" s="6"/>
      <c r="BT102" s="6"/>
      <c r="BU102" s="43">
        <f>'$$xSchpostCouncil 22'!BU102/'$$xSchpostCouncil 22'!BU$123</f>
        <v>0</v>
      </c>
      <c r="BV102" s="43">
        <f>'$$xSchpostCouncil 22'!BV102/'$$xSchpostCouncil 22'!BV$123</f>
        <v>0</v>
      </c>
      <c r="BW102" s="43">
        <f>'$$xSchpostCouncil 22'!BW102/'$$xSchpostCouncil 22'!BW$123</f>
        <v>0</v>
      </c>
      <c r="BX102" s="6">
        <v>506304</v>
      </c>
      <c r="BY102" s="6"/>
      <c r="BZ102" s="6"/>
      <c r="CA102" s="6"/>
      <c r="CB102" s="6"/>
      <c r="CC102" s="6">
        <v>80620</v>
      </c>
      <c r="CD102" s="6"/>
      <c r="CE102" s="6">
        <v>112569</v>
      </c>
      <c r="CF102" s="6">
        <v>56285</v>
      </c>
      <c r="CI102" s="43">
        <f>'$$xSchpostCouncil 22'!CI102/'$$xSchpostCouncil 22'!CI$123</f>
        <v>1</v>
      </c>
      <c r="CJ102" s="43">
        <f>'$$xSchpostCouncil 22'!CJ102/'$$xSchpostCouncil 22'!CJ$123</f>
        <v>0.89999936114074708</v>
      </c>
      <c r="CK102" s="43">
        <f>'$$xSchpostCouncil 22'!CK102/'$$xSchpostCouncil 22'!CK$123</f>
        <v>0.50000550182110282</v>
      </c>
      <c r="CL102" s="43">
        <f>'$$xSchpostCouncil 22'!CL102/'$$xSchpostCouncil 22'!CL$123</f>
        <v>0</v>
      </c>
      <c r="CM102" s="43">
        <f>'$$xSchpostCouncil 22'!CM102/'$$xSchpostCouncil 22'!CM$123</f>
        <v>0</v>
      </c>
      <c r="CN102" s="43">
        <f>'$$xSchpostCouncil 22'!CN102/'$$xSchpostCouncil 22'!CN$123</f>
        <v>0</v>
      </c>
      <c r="CO102" s="43">
        <f>'$$xSchpostCouncil 22'!CO102/'$$xSchpostCouncil 22'!CO$123</f>
        <v>0</v>
      </c>
      <c r="CP102" s="43">
        <f>'$$xSchpostCouncil 22'!CP102/'$$xSchpostCouncil 22'!CP$123</f>
        <v>0</v>
      </c>
      <c r="CQ102" s="43">
        <f>'$$xSchpostCouncil 22'!CQ102/'$$xSchpostCouncil 22'!CQ$123</f>
        <v>12.50000444172019</v>
      </c>
      <c r="CR102" s="43">
        <f>'$$xSchpostCouncil 22'!CR102/'$$xSchpostCouncil 22'!CR$123</f>
        <v>2</v>
      </c>
      <c r="CS102" s="6">
        <v>23000</v>
      </c>
      <c r="CT102" s="6"/>
      <c r="CU102" s="6">
        <v>100000</v>
      </c>
      <c r="CV102" s="43">
        <f>'$$xSchpostCouncil 22'!CV102/'$$xSchpostCouncil 22'!CV$123</f>
        <v>0</v>
      </c>
      <c r="CW102" s="43">
        <f>'$$xSchpostCouncil 22'!CW102/'$$xSchpostCouncil 22'!CW$123</f>
        <v>0</v>
      </c>
      <c r="CX102" s="6">
        <v>0</v>
      </c>
      <c r="CY102" s="6"/>
      <c r="CZ102" s="6"/>
      <c r="DB102" s="43">
        <f>'$$xSchpostCouncil 22'!DB102/'$$xSchpostCouncil 22'!DB$123</f>
        <v>0</v>
      </c>
      <c r="DC102" s="43">
        <f>'$$xSchpostCouncil 22'!DC102/'$$xSchpostCouncil 22'!DC$123</f>
        <v>0</v>
      </c>
      <c r="DF102" s="43">
        <f>'$$xSchpostCouncil 22'!DF102/'$$xSchpostCouncil 22'!DF$123</f>
        <v>0</v>
      </c>
      <c r="DG102" s="43">
        <f>'$$xSchpostCouncil 22'!DG102/'$$xSchpostCouncil 22'!DG$123</f>
        <v>0</v>
      </c>
      <c r="DH102" s="43">
        <f>'$$xSchpostCouncil 22'!DH102/'$$xSchpostCouncil 22'!DH$123</f>
        <v>0</v>
      </c>
      <c r="DI102" s="43">
        <f>'$$xSchpostCouncil 22'!DI102/'$$xSchpostCouncil 22'!DI$123</f>
        <v>1</v>
      </c>
      <c r="DJ102" s="43">
        <f>'$$xSchpostCouncil 22'!DJ102/'$$xSchpostCouncil 22'!DJ$123</f>
        <v>0</v>
      </c>
      <c r="DK102" s="43">
        <f>'$$xSchpostCouncil 22'!DK102/'$$xSchpostCouncil 22'!DK$123</f>
        <v>0</v>
      </c>
      <c r="DL102" s="6">
        <v>4022</v>
      </c>
      <c r="DM102" s="6"/>
      <c r="DN102" s="43">
        <f>'$$xSchpostCouncil 22'!DN102/'$$xSchpostCouncil 22'!DN$123</f>
        <v>0</v>
      </c>
      <c r="DO102" s="6"/>
      <c r="DP102" s="6">
        <v>51750</v>
      </c>
      <c r="DU102" s="6">
        <f>VLOOKUP($A102,[3]Totals!$B$2:$K$119,10,FALSE)</f>
        <v>128011.26</v>
      </c>
      <c r="DV102" s="6">
        <f>VLOOKUP($A102,[3]Totals!$B$2:$K$119,9,FALSE)</f>
        <v>225138</v>
      </c>
    </row>
    <row r="103" spans="1:126" x14ac:dyDescent="0.2">
      <c r="A103" s="3">
        <v>319</v>
      </c>
      <c r="B103" s="2" t="s">
        <v>23</v>
      </c>
      <c r="C103" t="s">
        <v>7</v>
      </c>
      <c r="D103">
        <v>8</v>
      </c>
      <c r="E103" s="1">
        <v>390</v>
      </c>
      <c r="F103" s="4">
        <v>0.90500000000000003</v>
      </c>
      <c r="G103">
        <v>353</v>
      </c>
      <c r="H103" s="43">
        <f>'$$xSchpostCouncil 22'!H103/'$$xSchpostCouncil 22'!H$123</f>
        <v>1</v>
      </c>
      <c r="I103" s="43">
        <f>'$$xSchpostCouncil 22'!I103/'$$xSchpostCouncil 22'!I$123</f>
        <v>0</v>
      </c>
      <c r="J103" s="43">
        <f>'$$xSchpostCouncil 22'!J103/'$$xSchpostCouncil 22'!J$123</f>
        <v>0</v>
      </c>
      <c r="K103" s="43">
        <f>'$$xSchpostCouncil 22'!K103/'$$xSchpostCouncil 22'!K$123</f>
        <v>1</v>
      </c>
      <c r="L103" s="6">
        <v>5245</v>
      </c>
      <c r="M103" s="43">
        <f>'$$xSchpostCouncil 22'!M103/'$$xSchpostCouncil 22'!M$123</f>
        <v>1</v>
      </c>
      <c r="N103" s="43">
        <f>'$$xSchpostCouncil 22'!N103/'$$xSchpostCouncil 22'!N$123</f>
        <v>1</v>
      </c>
      <c r="O103" s="43">
        <f>'$$xSchpostCouncil 22'!O103/'$$xSchpostCouncil 22'!O$123</f>
        <v>2</v>
      </c>
      <c r="P103" s="43">
        <f>'$$xSchpostCouncil 22'!P103/'$$xSchpostCouncil 22'!P$123</f>
        <v>1</v>
      </c>
      <c r="Q103" s="43">
        <f>'$$xSchpostCouncil 22'!Q103/'$$xSchpostCouncil 22'!Q$123</f>
        <v>2</v>
      </c>
      <c r="R103" s="43">
        <f>'$$xSchpostCouncil 22'!R103/'$$xSchpostCouncil 22'!R$123</f>
        <v>0</v>
      </c>
      <c r="S103" s="43">
        <f>'$$xSchpostCouncil 22'!S103/'$$xSchpostCouncil 22'!S$123</f>
        <v>3</v>
      </c>
      <c r="T103" s="43">
        <f>'$$xSchpostCouncil 22'!T103/'$$xSchpostCouncil 22'!T$123</f>
        <v>5</v>
      </c>
      <c r="U103" s="6"/>
      <c r="V103" s="6"/>
      <c r="W103" s="6"/>
      <c r="X103" s="6"/>
      <c r="Y103" s="43">
        <f>'$$xSchpostCouncil 22'!Y103/'$$xSchpostCouncil 22'!Y$123</f>
        <v>0</v>
      </c>
      <c r="Z103" s="43">
        <f>'$$xSchpostCouncil 22'!Z103/'$$xSchpostCouncil 22'!Z$123</f>
        <v>0</v>
      </c>
      <c r="AA103" s="43">
        <f>'$$xSchpostCouncil 22'!AA103/'$$xSchpostCouncil 22'!AA$123</f>
        <v>0</v>
      </c>
      <c r="AB103" s="43">
        <f>'$$xSchpostCouncil 22'!AB103/'$$xSchpostCouncil 22'!AB$123</f>
        <v>0</v>
      </c>
      <c r="AC103" s="6"/>
      <c r="AD103" s="6">
        <v>141728</v>
      </c>
      <c r="AE103" s="43">
        <f>'$$xSchpostCouncil 22'!AE103/'$$xSchpostCouncil 22'!AE$123</f>
        <v>1</v>
      </c>
      <c r="AF103" s="43">
        <f>'$$xSchpostCouncil 22'!AF103/'$$xSchpostCouncil 22'!AF$123</f>
        <v>2</v>
      </c>
      <c r="AG103" s="43">
        <f>'$$xSchpostCouncil 22'!AG103/'$$xSchpostCouncil 22'!AG$123</f>
        <v>7</v>
      </c>
      <c r="AH103" s="43">
        <f>'$$xSchpostCouncil 22'!AH103/'$$xSchpostCouncil 22'!AH$123</f>
        <v>0</v>
      </c>
      <c r="AI103" s="43">
        <f>'$$xSchpostCouncil 22'!AI103/'$$xSchpostCouncil 22'!AI$123</f>
        <v>4</v>
      </c>
      <c r="AJ103" s="43"/>
      <c r="AK103" s="43">
        <f>'$$xSchpostCouncil 22'!AK103/'$$xSchpostCouncil 22'!AK$123</f>
        <v>0</v>
      </c>
      <c r="AL103" s="43">
        <f>'$$xSchpostCouncil 22'!AL103/'$$xSchpostCouncil 22'!AL$123</f>
        <v>0</v>
      </c>
      <c r="AM103" s="6"/>
      <c r="AN103" s="6"/>
      <c r="AO103" s="43">
        <f>'$$xSchpostCouncil 22'!AO103/'$$xSchpostCouncil 22'!AO$123</f>
        <v>0</v>
      </c>
      <c r="AP103" s="43">
        <f>'$$xSchpostCouncil 22'!AP103/'$$xSchpostCouncil 22'!AP$123</f>
        <v>8.9998134477520447E-2</v>
      </c>
      <c r="AQ103" s="43">
        <f>'$$xSchpostCouncil 22'!AQ103/'$$xSchpostCouncil 22'!AQ$123</f>
        <v>0</v>
      </c>
      <c r="AR103" s="6"/>
      <c r="AS103" s="6">
        <f>47600-27200</f>
        <v>20400</v>
      </c>
      <c r="AT103" s="6">
        <f>47600-23800</f>
        <v>23800</v>
      </c>
      <c r="AU103" s="6">
        <v>10200</v>
      </c>
      <c r="AV103" s="6"/>
      <c r="AW103" s="6">
        <v>64600</v>
      </c>
      <c r="AX103" s="6"/>
      <c r="AY103" s="6"/>
      <c r="AZ103" s="6">
        <v>283490.59500000003</v>
      </c>
      <c r="BA103" s="6"/>
      <c r="BB103" s="6"/>
      <c r="BC103" s="43">
        <f>'$$xSchpostCouncil 22'!BC103/'$$xSchpostCouncil 22'!BC$123</f>
        <v>1</v>
      </c>
      <c r="BD103" s="43">
        <f>'$$xSchpostCouncil 22'!BD103/'$$xSchpostCouncil 22'!BD$123</f>
        <v>0</v>
      </c>
      <c r="BE103" s="6"/>
      <c r="BF103" s="6"/>
      <c r="BG103" s="6"/>
      <c r="BH103" s="43">
        <f>'$$xSchpostCouncil 22'!BH103/'$$xSchpostCouncil 22'!BH$123</f>
        <v>0</v>
      </c>
      <c r="BI103" s="6"/>
      <c r="BJ103" s="43">
        <f>'$$xSchpostCouncil 22'!BJ103/'$$xSchpostCouncil 22'!BJ$123</f>
        <v>0</v>
      </c>
      <c r="BK103" s="6"/>
      <c r="BL103" s="43">
        <f>'$$xSchpostCouncil 22'!BL103/'$$xSchpostCouncil 22'!BL$123</f>
        <v>0</v>
      </c>
      <c r="BM103" s="6"/>
      <c r="BN103" s="43">
        <f>'$$xSchpostCouncil 22'!BN103/'$$xSchpostCouncil 22'!BN$123</f>
        <v>0</v>
      </c>
      <c r="BO103" s="43">
        <f>'$$xSchpostCouncil 22'!BO103/'$$xSchpostCouncil 22'!BO$123</f>
        <v>0</v>
      </c>
      <c r="BP103" s="6"/>
      <c r="BQ103" s="6"/>
      <c r="BR103" s="6"/>
      <c r="BS103" s="6"/>
      <c r="BT103" s="6"/>
      <c r="BU103" s="43">
        <f>'$$xSchpostCouncil 22'!BU103/'$$xSchpostCouncil 22'!BU$123</f>
        <v>0</v>
      </c>
      <c r="BV103" s="43">
        <f>'$$xSchpostCouncil 22'!BV103/'$$xSchpostCouncil 22'!BV$123</f>
        <v>0</v>
      </c>
      <c r="BW103" s="43">
        <f>'$$xSchpostCouncil 22'!BW103/'$$xSchpostCouncil 22'!BW$123</f>
        <v>0</v>
      </c>
      <c r="BX103" s="6">
        <v>893625.19500000007</v>
      </c>
      <c r="BY103" s="6"/>
      <c r="BZ103" s="6"/>
      <c r="CA103" s="6"/>
      <c r="CB103" s="6"/>
      <c r="CC103" s="6">
        <v>205137</v>
      </c>
      <c r="CD103" s="6"/>
      <c r="CE103" s="6">
        <v>156529</v>
      </c>
      <c r="CF103" s="6">
        <v>112569</v>
      </c>
      <c r="CI103" s="43">
        <f>'$$xSchpostCouncil 22'!CI103/'$$xSchpostCouncil 22'!CI$123</f>
        <v>1</v>
      </c>
      <c r="CJ103" s="43">
        <f>'$$xSchpostCouncil 22'!CJ103/'$$xSchpostCouncil 22'!CJ$123</f>
        <v>1</v>
      </c>
      <c r="CK103" s="43">
        <f>'$$xSchpostCouncil 22'!CK103/'$$xSchpostCouncil 22'!CK$123</f>
        <v>1</v>
      </c>
      <c r="CL103" s="43">
        <f>'$$xSchpostCouncil 22'!CL103/'$$xSchpostCouncil 22'!CL$123</f>
        <v>0</v>
      </c>
      <c r="CM103" s="43">
        <f>'$$xSchpostCouncil 22'!CM103/'$$xSchpostCouncil 22'!CM$123</f>
        <v>0</v>
      </c>
      <c r="CN103" s="43">
        <f>'$$xSchpostCouncil 22'!CN103/'$$xSchpostCouncil 22'!CN$123</f>
        <v>0</v>
      </c>
      <c r="CO103" s="43">
        <f>'$$xSchpostCouncil 22'!CO103/'$$xSchpostCouncil 22'!CO$123</f>
        <v>3</v>
      </c>
      <c r="CP103" s="43">
        <f>'$$xSchpostCouncil 22'!CP103/'$$xSchpostCouncil 22'!CP$123</f>
        <v>3</v>
      </c>
      <c r="CQ103" s="43">
        <f>'$$xSchpostCouncil 22'!CQ103/'$$xSchpostCouncil 22'!CQ$123</f>
        <v>17</v>
      </c>
      <c r="CR103" s="43">
        <f>'$$xSchpostCouncil 22'!CR103/'$$xSchpostCouncil 22'!CR$123</f>
        <v>0</v>
      </c>
      <c r="CS103" s="6"/>
      <c r="CT103" s="6"/>
      <c r="CU103" s="6"/>
      <c r="CV103" s="43">
        <f>'$$xSchpostCouncil 22'!CV103/'$$xSchpostCouncil 22'!CV$123</f>
        <v>0</v>
      </c>
      <c r="CW103" s="43">
        <f>'$$xSchpostCouncil 22'!CW103/'$$xSchpostCouncil 22'!CW$123</f>
        <v>0</v>
      </c>
      <c r="CX103" s="6">
        <v>0</v>
      </c>
      <c r="CY103" s="6"/>
      <c r="CZ103" s="6"/>
      <c r="DB103" s="43">
        <f>'$$xSchpostCouncil 22'!DB103/'$$xSchpostCouncil 22'!DB$123</f>
        <v>0</v>
      </c>
      <c r="DC103" s="43">
        <f>'$$xSchpostCouncil 22'!DC103/'$$xSchpostCouncil 22'!DC$123</f>
        <v>0</v>
      </c>
      <c r="DF103" s="43">
        <f>'$$xSchpostCouncil 22'!DF103/'$$xSchpostCouncil 22'!DF$123</f>
        <v>0</v>
      </c>
      <c r="DG103" s="43">
        <f>'$$xSchpostCouncil 22'!DG103/'$$xSchpostCouncil 22'!DG$123</f>
        <v>0</v>
      </c>
      <c r="DH103" s="43">
        <f>'$$xSchpostCouncil 22'!DH103/'$$xSchpostCouncil 22'!DH$123</f>
        <v>0</v>
      </c>
      <c r="DI103" s="43">
        <f>'$$xSchpostCouncil 22'!DI103/'$$xSchpostCouncil 22'!DI$123</f>
        <v>0</v>
      </c>
      <c r="DJ103" s="43">
        <f>'$$xSchpostCouncil 22'!DJ103/'$$xSchpostCouncil 22'!DJ$123</f>
        <v>0</v>
      </c>
      <c r="DK103" s="43">
        <f>'$$xSchpostCouncil 22'!DK103/'$$xSchpostCouncil 22'!DK$123</f>
        <v>0</v>
      </c>
      <c r="DL103" s="6">
        <v>14172</v>
      </c>
      <c r="DM103" s="6"/>
      <c r="DN103" s="43">
        <f>'$$xSchpostCouncil 22'!DN103/'$$xSchpostCouncil 22'!DN$123</f>
        <v>0</v>
      </c>
      <c r="DO103" s="6"/>
      <c r="DP103" s="6">
        <v>46125</v>
      </c>
      <c r="DU103" s="6">
        <f>VLOOKUP($A103,[3]Totals!$B$2:$K$119,10,FALSE)</f>
        <v>270080.59000000003</v>
      </c>
      <c r="DV103" s="6">
        <f>VLOOKUP($A103,[3]Totals!$B$2:$K$119,9,FALSE)</f>
        <v>337707</v>
      </c>
    </row>
    <row r="104" spans="1:126" x14ac:dyDescent="0.2">
      <c r="A104" s="3">
        <v>1142</v>
      </c>
      <c r="B104" s="2" t="s">
        <v>22</v>
      </c>
      <c r="C104" t="s">
        <v>7</v>
      </c>
      <c r="D104">
        <v>2</v>
      </c>
      <c r="E104" s="1">
        <v>82</v>
      </c>
      <c r="F104" s="4">
        <v>0.19500000000000001</v>
      </c>
      <c r="G104">
        <v>16</v>
      </c>
      <c r="H104" s="43">
        <f>'$$xSchpostCouncil 22'!H104/'$$xSchpostCouncil 22'!H$123</f>
        <v>1</v>
      </c>
      <c r="I104" s="43">
        <f>'$$xSchpostCouncil 22'!I104/'$$xSchpostCouncil 22'!I$123</f>
        <v>0</v>
      </c>
      <c r="J104" s="43">
        <f>'$$xSchpostCouncil 22'!J104/'$$xSchpostCouncil 22'!J$123</f>
        <v>0</v>
      </c>
      <c r="K104" s="43">
        <f>'$$xSchpostCouncil 22'!K104/'$$xSchpostCouncil 22'!K$123</f>
        <v>1</v>
      </c>
      <c r="L104" s="6">
        <v>3251</v>
      </c>
      <c r="M104" s="43">
        <f>'$$xSchpostCouncil 22'!M104/'$$xSchpostCouncil 22'!M$123</f>
        <v>1</v>
      </c>
      <c r="N104" s="43">
        <f>'$$xSchpostCouncil 22'!N104/'$$xSchpostCouncil 22'!N$123</f>
        <v>1</v>
      </c>
      <c r="O104" s="43">
        <f>'$$xSchpostCouncil 22'!O104/'$$xSchpostCouncil 22'!O$123</f>
        <v>1</v>
      </c>
      <c r="P104" s="43">
        <f>'$$xSchpostCouncil 22'!P104/'$$xSchpostCouncil 22'!P$123</f>
        <v>1.0000006218408266</v>
      </c>
      <c r="Q104" s="43">
        <f>'$$xSchpostCouncil 22'!Q104/'$$xSchpostCouncil 22'!Q$123</f>
        <v>3</v>
      </c>
      <c r="R104" s="43">
        <f>'$$xSchpostCouncil 22'!R104/'$$xSchpostCouncil 22'!R$123</f>
        <v>0</v>
      </c>
      <c r="S104" s="43">
        <f>'$$xSchpostCouncil 22'!S104/'$$xSchpostCouncil 22'!S$123</f>
        <v>2</v>
      </c>
      <c r="T104" s="43">
        <f>'$$xSchpostCouncil 22'!T104/'$$xSchpostCouncil 22'!T$123</f>
        <v>5</v>
      </c>
      <c r="U104" s="6"/>
      <c r="V104" s="6"/>
      <c r="W104" s="6"/>
      <c r="X104" s="6"/>
      <c r="Y104" s="43">
        <f>'$$xSchpostCouncil 22'!Y104/'$$xSchpostCouncil 22'!Y$123</f>
        <v>0</v>
      </c>
      <c r="Z104" s="43">
        <f>'$$xSchpostCouncil 22'!Z104/'$$xSchpostCouncil 22'!Z$123</f>
        <v>0</v>
      </c>
      <c r="AA104" s="43">
        <f>'$$xSchpostCouncil 22'!AA104/'$$xSchpostCouncil 22'!AA$123</f>
        <v>0</v>
      </c>
      <c r="AB104" s="43">
        <f>'$$xSchpostCouncil 22'!AB104/'$$xSchpostCouncil 22'!AB$123</f>
        <v>0</v>
      </c>
      <c r="AC104" s="6"/>
      <c r="AD104" s="6">
        <v>56920</v>
      </c>
      <c r="AE104" s="43">
        <f>'$$xSchpostCouncil 22'!AE104/'$$xSchpostCouncil 22'!AE$123</f>
        <v>1</v>
      </c>
      <c r="AF104" s="43">
        <f>'$$xSchpostCouncil 22'!AF104/'$$xSchpostCouncil 22'!AF$123</f>
        <v>1</v>
      </c>
      <c r="AG104" s="43">
        <f>'$$xSchpostCouncil 22'!AG104/'$$xSchpostCouncil 22'!AG$123</f>
        <v>5</v>
      </c>
      <c r="AH104" s="43">
        <f>'$$xSchpostCouncil 22'!AH104/'$$xSchpostCouncil 22'!AH$123</f>
        <v>0</v>
      </c>
      <c r="AI104" s="43">
        <f>'$$xSchpostCouncil 22'!AI104/'$$xSchpostCouncil 22'!AI$123</f>
        <v>5</v>
      </c>
      <c r="AJ104" s="43"/>
      <c r="AK104" s="43">
        <f>'$$xSchpostCouncil 22'!AK104/'$$xSchpostCouncil 22'!AK$123</f>
        <v>0</v>
      </c>
      <c r="AL104" s="43">
        <f>'$$xSchpostCouncil 22'!AL104/'$$xSchpostCouncil 22'!AL$123</f>
        <v>0</v>
      </c>
      <c r="AM104" s="6"/>
      <c r="AN104" s="6"/>
      <c r="AO104" s="43">
        <f>'$$xSchpostCouncil 22'!AO104/'$$xSchpostCouncil 22'!AO$123</f>
        <v>0</v>
      </c>
      <c r="AP104" s="43">
        <f>'$$xSchpostCouncil 22'!AP104/'$$xSchpostCouncil 22'!AP$123</f>
        <v>0.17999626895504089</v>
      </c>
      <c r="AQ104" s="43">
        <f>'$$xSchpostCouncil 22'!AQ104/'$$xSchpostCouncil 22'!AQ$123</f>
        <v>0</v>
      </c>
      <c r="AR104" s="6"/>
      <c r="AS104" s="6">
        <f>13600-11900</f>
        <v>1700</v>
      </c>
      <c r="AT104" s="6">
        <f>13600-11900</f>
        <v>1700</v>
      </c>
      <c r="AU104" s="6">
        <v>10200</v>
      </c>
      <c r="AV104" s="6"/>
      <c r="AW104" s="6">
        <v>23800</v>
      </c>
      <c r="AX104" s="6"/>
      <c r="AY104" s="6"/>
      <c r="AZ104" s="6">
        <v>4053.85</v>
      </c>
      <c r="BA104" s="6"/>
      <c r="BB104" s="6"/>
      <c r="BC104" s="43">
        <f>'$$xSchpostCouncil 22'!BC104/'$$xSchpostCouncil 22'!BC$123</f>
        <v>0</v>
      </c>
      <c r="BD104" s="43">
        <f>'$$xSchpostCouncil 22'!BD104/'$$xSchpostCouncil 22'!BD$123</f>
        <v>0</v>
      </c>
      <c r="BE104" s="6"/>
      <c r="BF104" s="6"/>
      <c r="BG104" s="6"/>
      <c r="BH104" s="43">
        <f>'$$xSchpostCouncil 22'!BH104/'$$xSchpostCouncil 22'!BH$123</f>
        <v>0</v>
      </c>
      <c r="BI104" s="6"/>
      <c r="BJ104" s="43">
        <f>'$$xSchpostCouncil 22'!BJ104/'$$xSchpostCouncil 22'!BJ$123</f>
        <v>0</v>
      </c>
      <c r="BK104" s="6"/>
      <c r="BL104" s="43">
        <f>'$$xSchpostCouncil 22'!BL104/'$$xSchpostCouncil 22'!BL$123</f>
        <v>0</v>
      </c>
      <c r="BM104" s="6"/>
      <c r="BN104" s="43">
        <f>'$$xSchpostCouncil 22'!BN104/'$$xSchpostCouncil 22'!BN$123</f>
        <v>0</v>
      </c>
      <c r="BO104" s="43">
        <f>'$$xSchpostCouncil 22'!BO104/'$$xSchpostCouncil 22'!BO$123</f>
        <v>0</v>
      </c>
      <c r="BP104" s="6"/>
      <c r="BQ104" s="6"/>
      <c r="BR104" s="6"/>
      <c r="BS104" s="6"/>
      <c r="BT104" s="6"/>
      <c r="BU104" s="43">
        <f>'$$xSchpostCouncil 22'!BU104/'$$xSchpostCouncil 22'!BU$123</f>
        <v>0</v>
      </c>
      <c r="BV104" s="43">
        <f>'$$xSchpostCouncil 22'!BV104/'$$xSchpostCouncil 22'!BV$123</f>
        <v>0</v>
      </c>
      <c r="BW104" s="43">
        <f>'$$xSchpostCouncil 22'!BW104/'$$xSchpostCouncil 22'!BW$123</f>
        <v>0</v>
      </c>
      <c r="BX104" s="6">
        <v>40504</v>
      </c>
      <c r="BY104" s="6"/>
      <c r="BZ104" s="6"/>
      <c r="CA104" s="6"/>
      <c r="CB104" s="6"/>
      <c r="CC104" s="6"/>
      <c r="CD104" s="6"/>
      <c r="CE104" s="6"/>
      <c r="CF104" s="6">
        <v>0</v>
      </c>
      <c r="CI104" s="43">
        <f>'$$xSchpostCouncil 22'!CI104/'$$xSchpostCouncil 22'!CI$123</f>
        <v>1</v>
      </c>
      <c r="CJ104" s="43">
        <f>'$$xSchpostCouncil 22'!CJ104/'$$xSchpostCouncil 22'!CJ$123</f>
        <v>0</v>
      </c>
      <c r="CK104" s="43">
        <f>'$$xSchpostCouncil 22'!CK104/'$$xSchpostCouncil 22'!CK$123</f>
        <v>0.50000550182110282</v>
      </c>
      <c r="CL104" s="43">
        <f>'$$xSchpostCouncil 22'!CL104/'$$xSchpostCouncil 22'!CL$123</f>
        <v>0</v>
      </c>
      <c r="CM104" s="43">
        <f>'$$xSchpostCouncil 22'!CM104/'$$xSchpostCouncil 22'!CM$123</f>
        <v>0</v>
      </c>
      <c r="CN104" s="43">
        <f>'$$xSchpostCouncil 22'!CN104/'$$xSchpostCouncil 22'!CN$123</f>
        <v>0</v>
      </c>
      <c r="CO104" s="43">
        <f>'$$xSchpostCouncil 22'!CO104/'$$xSchpostCouncil 22'!CO$123</f>
        <v>3</v>
      </c>
      <c r="CP104" s="43">
        <f>'$$xSchpostCouncil 22'!CP104/'$$xSchpostCouncil 22'!CP$123</f>
        <v>0</v>
      </c>
      <c r="CQ104" s="43">
        <f>'$$xSchpostCouncil 22'!CQ104/'$$xSchpostCouncil 22'!CQ$123</f>
        <v>0</v>
      </c>
      <c r="CR104" s="43">
        <f>'$$xSchpostCouncil 22'!CR104/'$$xSchpostCouncil 22'!CR$123</f>
        <v>0</v>
      </c>
      <c r="CS104" s="6"/>
      <c r="CT104" s="6"/>
      <c r="CU104" s="6"/>
      <c r="CV104" s="43">
        <f>'$$xSchpostCouncil 22'!CV104/'$$xSchpostCouncil 22'!CV$123</f>
        <v>0</v>
      </c>
      <c r="CW104" s="43">
        <f>'$$xSchpostCouncil 22'!CW104/'$$xSchpostCouncil 22'!CW$123</f>
        <v>0</v>
      </c>
      <c r="CX104" s="6">
        <v>0</v>
      </c>
      <c r="CY104" s="6"/>
      <c r="CZ104" s="6"/>
      <c r="DB104" s="43">
        <f>'$$xSchpostCouncil 22'!DB104/'$$xSchpostCouncil 22'!DB$123</f>
        <v>0</v>
      </c>
      <c r="DC104" s="43">
        <f>'$$xSchpostCouncil 22'!DC104/'$$xSchpostCouncil 22'!DC$123</f>
        <v>0</v>
      </c>
      <c r="DF104" s="43">
        <f>'$$xSchpostCouncil 22'!DF104/'$$xSchpostCouncil 22'!DF$123</f>
        <v>0</v>
      </c>
      <c r="DG104" s="43">
        <f>'$$xSchpostCouncil 22'!DG104/'$$xSchpostCouncil 22'!DG$123</f>
        <v>0</v>
      </c>
      <c r="DH104" s="43">
        <f>'$$xSchpostCouncil 22'!DH104/'$$xSchpostCouncil 22'!DH$123</f>
        <v>0</v>
      </c>
      <c r="DI104" s="43">
        <f>'$$xSchpostCouncil 22'!DI104/'$$xSchpostCouncil 22'!DI$123</f>
        <v>0</v>
      </c>
      <c r="DJ104" s="43">
        <f>'$$xSchpostCouncil 22'!DJ104/'$$xSchpostCouncil 22'!DJ$123</f>
        <v>0</v>
      </c>
      <c r="DK104" s="43">
        <f>'$$xSchpostCouncil 22'!DK104/'$$xSchpostCouncil 22'!DK$123</f>
        <v>0</v>
      </c>
      <c r="DL104" s="6"/>
      <c r="DM104" s="6"/>
      <c r="DN104" s="43">
        <f>'$$xSchpostCouncil 22'!DN104/'$$xSchpostCouncil 22'!DN$123</f>
        <v>0</v>
      </c>
      <c r="DO104" s="6"/>
      <c r="DP104" s="6">
        <v>6128</v>
      </c>
      <c r="DU104" s="6">
        <f>VLOOKUP($A104,[3]Totals!$B$2:$K$119,10,FALSE)</f>
        <v>34161</v>
      </c>
      <c r="DV104" s="6">
        <f>VLOOKUP($A104,[3]Totals!$B$2:$K$119,9,FALSE)</f>
        <v>0</v>
      </c>
    </row>
    <row r="105" spans="1:126" x14ac:dyDescent="0.2">
      <c r="A105" s="3">
        <v>321</v>
      </c>
      <c r="B105" s="2" t="s">
        <v>21</v>
      </c>
      <c r="C105" t="s">
        <v>7</v>
      </c>
      <c r="D105">
        <v>3</v>
      </c>
      <c r="E105" s="1">
        <v>453</v>
      </c>
      <c r="F105" s="4">
        <v>9.2999999999999999E-2</v>
      </c>
      <c r="G105">
        <v>42</v>
      </c>
      <c r="H105" s="43">
        <f>'$$xSchpostCouncil 22'!H105/'$$xSchpostCouncil 22'!H$123</f>
        <v>1</v>
      </c>
      <c r="I105" s="43">
        <f>'$$xSchpostCouncil 22'!I105/'$$xSchpostCouncil 22'!I$123</f>
        <v>0</v>
      </c>
      <c r="J105" s="43">
        <f>'$$xSchpostCouncil 22'!J105/'$$xSchpostCouncil 22'!J$123</f>
        <v>0</v>
      </c>
      <c r="K105" s="43">
        <f>'$$xSchpostCouncil 22'!K105/'$$xSchpostCouncil 22'!K$123</f>
        <v>1</v>
      </c>
      <c r="L105" s="6">
        <v>5477</v>
      </c>
      <c r="M105" s="43">
        <f>'$$xSchpostCouncil 22'!M105/'$$xSchpostCouncil 22'!M$123</f>
        <v>1</v>
      </c>
      <c r="N105" s="43">
        <f>'$$xSchpostCouncil 22'!N105/'$$xSchpostCouncil 22'!N$123</f>
        <v>1</v>
      </c>
      <c r="O105" s="43">
        <f>'$$xSchpostCouncil 22'!O105/'$$xSchpostCouncil 22'!O$123</f>
        <v>2</v>
      </c>
      <c r="P105" s="43">
        <f>'$$xSchpostCouncil 22'!P105/'$$xSchpostCouncil 22'!P$123</f>
        <v>1</v>
      </c>
      <c r="Q105" s="43">
        <f>'$$xSchpostCouncil 22'!Q105/'$$xSchpostCouncil 22'!Q$123</f>
        <v>0</v>
      </c>
      <c r="R105" s="43">
        <f>'$$xSchpostCouncil 22'!R105/'$$xSchpostCouncil 22'!R$123</f>
        <v>0</v>
      </c>
      <c r="S105" s="43">
        <f>'$$xSchpostCouncil 22'!S105/'$$xSchpostCouncil 22'!S$123</f>
        <v>1</v>
      </c>
      <c r="T105" s="43">
        <f>'$$xSchpostCouncil 22'!T105/'$$xSchpostCouncil 22'!T$123</f>
        <v>1</v>
      </c>
      <c r="U105" s="6"/>
      <c r="V105" s="6"/>
      <c r="W105" s="6"/>
      <c r="X105" s="6"/>
      <c r="Y105" s="43">
        <f>'$$xSchpostCouncil 22'!Y105/'$$xSchpostCouncil 22'!Y$123</f>
        <v>0</v>
      </c>
      <c r="Z105" s="43">
        <f>'$$xSchpostCouncil 22'!Z105/'$$xSchpostCouncil 22'!Z$123</f>
        <v>0</v>
      </c>
      <c r="AA105" s="43">
        <f>'$$xSchpostCouncil 22'!AA105/'$$xSchpostCouncil 22'!AA$123</f>
        <v>0</v>
      </c>
      <c r="AB105" s="43">
        <f>'$$xSchpostCouncil 22'!AB105/'$$xSchpostCouncil 22'!AB$123</f>
        <v>0</v>
      </c>
      <c r="AC105" s="6"/>
      <c r="AD105" s="6">
        <v>155557</v>
      </c>
      <c r="AE105" s="43">
        <f>'$$xSchpostCouncil 22'!AE105/'$$xSchpostCouncil 22'!AE$123</f>
        <v>1</v>
      </c>
      <c r="AF105" s="43">
        <f>'$$xSchpostCouncil 22'!AF105/'$$xSchpostCouncil 22'!AF$123</f>
        <v>1</v>
      </c>
      <c r="AG105" s="43">
        <f>'$$xSchpostCouncil 22'!AG105/'$$xSchpostCouncil 22'!AG$123</f>
        <v>3</v>
      </c>
      <c r="AH105" s="43">
        <f>'$$xSchpostCouncil 22'!AH105/'$$xSchpostCouncil 22'!AH$123</f>
        <v>0</v>
      </c>
      <c r="AI105" s="43">
        <f>'$$xSchpostCouncil 22'!AI105/'$$xSchpostCouncil 22'!AI$123</f>
        <v>0</v>
      </c>
      <c r="AJ105" s="43"/>
      <c r="AK105" s="43">
        <f>'$$xSchpostCouncil 22'!AK105/'$$xSchpostCouncil 22'!AK$123</f>
        <v>0</v>
      </c>
      <c r="AL105" s="43">
        <f>'$$xSchpostCouncil 22'!AL105/'$$xSchpostCouncil 22'!AL$123</f>
        <v>0</v>
      </c>
      <c r="AM105" s="6"/>
      <c r="AN105" s="6"/>
      <c r="AO105" s="43">
        <f>'$$xSchpostCouncil 22'!AO105/'$$xSchpostCouncil 22'!AO$123</f>
        <v>5</v>
      </c>
      <c r="AP105" s="43">
        <f>'$$xSchpostCouncil 22'!AP105/'$$xSchpostCouncil 22'!AP$123</f>
        <v>0</v>
      </c>
      <c r="AQ105" s="43">
        <f>'$$xSchpostCouncil 22'!AQ105/'$$xSchpostCouncil 22'!AQ$123</f>
        <v>0</v>
      </c>
      <c r="AR105" s="6"/>
      <c r="AS105" s="6"/>
      <c r="AT105" s="6"/>
      <c r="AU105" s="6"/>
      <c r="AV105" s="6"/>
      <c r="AW105" s="6">
        <v>0</v>
      </c>
      <c r="AX105" s="6"/>
      <c r="AY105" s="6"/>
      <c r="AZ105" s="6">
        <v>0</v>
      </c>
      <c r="BA105" s="6"/>
      <c r="BB105" s="6">
        <v>11325</v>
      </c>
      <c r="BC105" s="43">
        <f>'$$xSchpostCouncil 22'!BC105/'$$xSchpostCouncil 22'!BC$123</f>
        <v>0</v>
      </c>
      <c r="BD105" s="43">
        <f>'$$xSchpostCouncil 22'!BD105/'$$xSchpostCouncil 22'!BD$123</f>
        <v>0</v>
      </c>
      <c r="BE105" s="6"/>
      <c r="BF105" s="6"/>
      <c r="BG105" s="6"/>
      <c r="BH105" s="43">
        <f>'$$xSchpostCouncil 22'!BH105/'$$xSchpostCouncil 22'!BH$123</f>
        <v>0</v>
      </c>
      <c r="BI105" s="6"/>
      <c r="BJ105" s="43">
        <f>'$$xSchpostCouncil 22'!BJ105/'$$xSchpostCouncil 22'!BJ$123</f>
        <v>0</v>
      </c>
      <c r="BK105" s="6"/>
      <c r="BL105" s="43">
        <f>'$$xSchpostCouncil 22'!BL105/'$$xSchpostCouncil 22'!BL$123</f>
        <v>0</v>
      </c>
      <c r="BM105" s="6"/>
      <c r="BN105" s="43">
        <f>'$$xSchpostCouncil 22'!BN105/'$$xSchpostCouncil 22'!BN$123</f>
        <v>0</v>
      </c>
      <c r="BO105" s="43">
        <f>'$$xSchpostCouncil 22'!BO105/'$$xSchpostCouncil 22'!BO$123</f>
        <v>0</v>
      </c>
      <c r="BP105" s="6"/>
      <c r="BQ105" s="6"/>
      <c r="BR105" s="6"/>
      <c r="BS105" s="6"/>
      <c r="BT105" s="6"/>
      <c r="BU105" s="43">
        <f>'$$xSchpostCouncil 22'!BU105/'$$xSchpostCouncil 22'!BU$123</f>
        <v>0</v>
      </c>
      <c r="BV105" s="43">
        <f>'$$xSchpostCouncil 22'!BV105/'$$xSchpostCouncil 22'!BV$123</f>
        <v>0</v>
      </c>
      <c r="BW105" s="43">
        <f>'$$xSchpostCouncil 22'!BW105/'$$xSchpostCouncil 22'!BW$123</f>
        <v>0</v>
      </c>
      <c r="BX105" s="6">
        <v>106324</v>
      </c>
      <c r="BY105" s="6"/>
      <c r="BZ105" s="6"/>
      <c r="CA105" s="6"/>
      <c r="CB105" s="6"/>
      <c r="CC105" s="6"/>
      <c r="CD105" s="6"/>
      <c r="CE105" s="6"/>
      <c r="CF105" s="6">
        <v>0</v>
      </c>
      <c r="CI105" s="43">
        <f>'$$xSchpostCouncil 22'!CI105/'$$xSchpostCouncil 22'!CI$123</f>
        <v>1</v>
      </c>
      <c r="CJ105" s="43">
        <f>'$$xSchpostCouncil 22'!CJ105/'$$xSchpostCouncil 22'!CJ$123</f>
        <v>1.1000006388592529</v>
      </c>
      <c r="CK105" s="43">
        <f>'$$xSchpostCouncil 22'!CK105/'$$xSchpostCouncil 22'!CK$123</f>
        <v>1</v>
      </c>
      <c r="CL105" s="43">
        <f>'$$xSchpostCouncil 22'!CL105/'$$xSchpostCouncil 22'!CL$123</f>
        <v>1.1000019747625347</v>
      </c>
      <c r="CM105" s="43">
        <f>'$$xSchpostCouncil 22'!CM105/'$$xSchpostCouncil 22'!CM$123</f>
        <v>0</v>
      </c>
      <c r="CN105" s="43">
        <f>'$$xSchpostCouncil 22'!CN105/'$$xSchpostCouncil 22'!CN$123</f>
        <v>0</v>
      </c>
      <c r="CO105" s="43">
        <f>'$$xSchpostCouncil 22'!CO105/'$$xSchpostCouncil 22'!CO$123</f>
        <v>4.500004441720189</v>
      </c>
      <c r="CP105" s="43">
        <f>'$$xSchpostCouncil 22'!CP105/'$$xSchpostCouncil 22'!CP$123</f>
        <v>4</v>
      </c>
      <c r="CQ105" s="43">
        <f>'$$xSchpostCouncil 22'!CQ105/'$$xSchpostCouncil 22'!CQ$123</f>
        <v>23</v>
      </c>
      <c r="CR105" s="43">
        <f>'$$xSchpostCouncil 22'!CR105/'$$xSchpostCouncil 22'!CR$123</f>
        <v>0</v>
      </c>
      <c r="CS105" s="6"/>
      <c r="CT105" s="6"/>
      <c r="CU105" s="6"/>
      <c r="CV105" s="43">
        <f>'$$xSchpostCouncil 22'!CV105/'$$xSchpostCouncil 22'!CV$123</f>
        <v>0</v>
      </c>
      <c r="CW105" s="43">
        <f>'$$xSchpostCouncil 22'!CW105/'$$xSchpostCouncil 22'!CW$123</f>
        <v>0</v>
      </c>
      <c r="CX105" s="6">
        <v>0</v>
      </c>
      <c r="CY105" s="6"/>
      <c r="CZ105" s="6"/>
      <c r="DB105" s="43">
        <f>'$$xSchpostCouncil 22'!DB105/'$$xSchpostCouncil 22'!DB$123</f>
        <v>1</v>
      </c>
      <c r="DC105" s="43">
        <f>'$$xSchpostCouncil 22'!DC105/'$$xSchpostCouncil 22'!DC$123</f>
        <v>0</v>
      </c>
      <c r="DF105" s="43">
        <f>'$$xSchpostCouncil 22'!DF105/'$$xSchpostCouncil 22'!DF$123</f>
        <v>0</v>
      </c>
      <c r="DG105" s="43">
        <f>'$$xSchpostCouncil 22'!DG105/'$$xSchpostCouncil 22'!DG$123</f>
        <v>0</v>
      </c>
      <c r="DH105" s="43">
        <f>'$$xSchpostCouncil 22'!DH105/'$$xSchpostCouncil 22'!DH$123</f>
        <v>0</v>
      </c>
      <c r="DI105" s="43">
        <f>'$$xSchpostCouncil 22'!DI105/'$$xSchpostCouncil 22'!DI$123</f>
        <v>0</v>
      </c>
      <c r="DJ105" s="43">
        <f>'$$xSchpostCouncil 22'!DJ105/'$$xSchpostCouncil 22'!DJ$123</f>
        <v>0</v>
      </c>
      <c r="DK105" s="43">
        <f>'$$xSchpostCouncil 22'!DK105/'$$xSchpostCouncil 22'!DK$123</f>
        <v>0</v>
      </c>
      <c r="DL105" s="6"/>
      <c r="DM105" s="6"/>
      <c r="DN105" s="43">
        <f>'$$xSchpostCouncil 22'!DN105/'$$xSchpostCouncil 22'!DN$123</f>
        <v>0</v>
      </c>
      <c r="DO105" s="6"/>
      <c r="DP105" s="6">
        <v>3500</v>
      </c>
      <c r="DU105" s="6">
        <f>VLOOKUP($A105,[3]Totals!$B$2:$K$119,10,FALSE)</f>
        <v>65586.710000000006</v>
      </c>
      <c r="DV105" s="6">
        <f>VLOOKUP($A105,[3]Totals!$B$2:$K$119,9,FALSE)</f>
        <v>37488</v>
      </c>
    </row>
    <row r="106" spans="1:126" x14ac:dyDescent="0.2">
      <c r="A106" s="3">
        <v>428</v>
      </c>
      <c r="B106" s="2" t="s">
        <v>20</v>
      </c>
      <c r="C106" t="s">
        <v>19</v>
      </c>
      <c r="D106">
        <v>6</v>
      </c>
      <c r="E106" s="1">
        <v>507</v>
      </c>
      <c r="F106" s="4">
        <v>0.33500000000000002</v>
      </c>
      <c r="G106">
        <v>170</v>
      </c>
      <c r="H106" s="43">
        <f>'$$xSchpostCouncil 22'!H106/'$$xSchpostCouncil 22'!H$123</f>
        <v>1</v>
      </c>
      <c r="I106" s="43">
        <f>'$$xSchpostCouncil 22'!I106/'$$xSchpostCouncil 22'!I$123</f>
        <v>1.3000026650321137</v>
      </c>
      <c r="J106" s="43">
        <f>'$$xSchpostCouncil 22'!J106/'$$xSchpostCouncil 22'!J$123</f>
        <v>0</v>
      </c>
      <c r="K106" s="43">
        <f>'$$xSchpostCouncil 22'!K106/'$$xSchpostCouncil 22'!K$123</f>
        <v>1</v>
      </c>
      <c r="L106" s="6">
        <v>8422</v>
      </c>
      <c r="M106" s="43">
        <f>'$$xSchpostCouncil 22'!M106/'$$xSchpostCouncil 22'!M$123</f>
        <v>1</v>
      </c>
      <c r="N106" s="43">
        <f>'$$xSchpostCouncil 22'!N106/'$$xSchpostCouncil 22'!N$123</f>
        <v>1</v>
      </c>
      <c r="O106" s="43">
        <f>'$$xSchpostCouncil 22'!O106/'$$xSchpostCouncil 22'!O$123</f>
        <v>4</v>
      </c>
      <c r="P106" s="43">
        <f>'$$xSchpostCouncil 22'!P106/'$$xSchpostCouncil 22'!P$123</f>
        <v>1</v>
      </c>
      <c r="Q106" s="43">
        <f>'$$xSchpostCouncil 22'!Q106/'$$xSchpostCouncil 22'!Q$123</f>
        <v>0</v>
      </c>
      <c r="R106" s="43">
        <f>'$$xSchpostCouncil 22'!R106/'$$xSchpostCouncil 22'!R$123</f>
        <v>0</v>
      </c>
      <c r="S106" s="43">
        <f>'$$xSchpostCouncil 22'!S106/'$$xSchpostCouncil 22'!S$123</f>
        <v>0</v>
      </c>
      <c r="T106" s="43">
        <f>'$$xSchpostCouncil 22'!T106/'$$xSchpostCouncil 22'!T$123</f>
        <v>0</v>
      </c>
      <c r="U106" s="6"/>
      <c r="V106" s="6"/>
      <c r="W106" s="6"/>
      <c r="X106" s="6"/>
      <c r="Y106" s="43">
        <f>'$$xSchpostCouncil 22'!Y106/'$$xSchpostCouncil 22'!Y$123</f>
        <v>0</v>
      </c>
      <c r="Z106" s="43">
        <f>'$$xSchpostCouncil 22'!Z106/'$$xSchpostCouncil 22'!Z$123</f>
        <v>0</v>
      </c>
      <c r="AA106" s="43">
        <f>'$$xSchpostCouncil 22'!AA106/'$$xSchpostCouncil 22'!AA$123</f>
        <v>0</v>
      </c>
      <c r="AB106" s="43">
        <f>'$$xSchpostCouncil 22'!AB106/'$$xSchpostCouncil 22'!AB$123</f>
        <v>0</v>
      </c>
      <c r="AC106" s="6"/>
      <c r="AD106" s="6">
        <v>186703</v>
      </c>
      <c r="AE106" s="43">
        <f>'$$xSchpostCouncil 22'!AE106/'$$xSchpostCouncil 22'!AE$123</f>
        <v>1</v>
      </c>
      <c r="AF106" s="43">
        <f>'$$xSchpostCouncil 22'!AF106/'$$xSchpostCouncil 22'!AF$123</f>
        <v>2</v>
      </c>
      <c r="AG106" s="43">
        <f>'$$xSchpostCouncil 22'!AG106/'$$xSchpostCouncil 22'!AG$123</f>
        <v>9</v>
      </c>
      <c r="AH106" s="43">
        <f>'$$xSchpostCouncil 22'!AH106/'$$xSchpostCouncil 22'!AH$123</f>
        <v>0</v>
      </c>
      <c r="AI106" s="43">
        <f>'$$xSchpostCouncil 22'!AI106/'$$xSchpostCouncil 22'!AI$123</f>
        <v>3</v>
      </c>
      <c r="AJ106" s="43"/>
      <c r="AK106" s="43">
        <f>'$$xSchpostCouncil 22'!AK106/'$$xSchpostCouncil 22'!AK$123</f>
        <v>0</v>
      </c>
      <c r="AL106" s="43">
        <f>'$$xSchpostCouncil 22'!AL106/'$$xSchpostCouncil 22'!AL$123</f>
        <v>0</v>
      </c>
      <c r="AM106" s="6"/>
      <c r="AN106" s="6"/>
      <c r="AO106" s="43">
        <f>'$$xSchpostCouncil 22'!AO106/'$$xSchpostCouncil 22'!AO$123</f>
        <v>0</v>
      </c>
      <c r="AP106" s="43">
        <f>'$$xSchpostCouncil 22'!AP106/'$$xSchpostCouncil 22'!AP$123</f>
        <v>0.36000142135046059</v>
      </c>
      <c r="AQ106" s="43">
        <f>'$$xSchpostCouncil 22'!AQ106/'$$xSchpostCouncil 22'!AQ$123</f>
        <v>0</v>
      </c>
      <c r="AR106" s="6"/>
      <c r="AS106" s="6"/>
      <c r="AT106" s="6"/>
      <c r="AU106" s="6"/>
      <c r="AV106" s="6"/>
      <c r="AW106" s="6">
        <v>0</v>
      </c>
      <c r="AX106" s="6"/>
      <c r="AY106" s="6"/>
      <c r="AZ106" s="6">
        <v>92153.97</v>
      </c>
      <c r="BA106" s="6"/>
      <c r="BB106" s="6"/>
      <c r="BC106" s="43">
        <f>'$$xSchpostCouncil 22'!BC106/'$$xSchpostCouncil 22'!BC$123</f>
        <v>0</v>
      </c>
      <c r="BD106" s="43">
        <f>'$$xSchpostCouncil 22'!BD106/'$$xSchpostCouncil 22'!BD$123</f>
        <v>0</v>
      </c>
      <c r="BE106" s="6"/>
      <c r="BF106" s="6"/>
      <c r="BG106" s="6"/>
      <c r="BH106" s="43">
        <f>'$$xSchpostCouncil 22'!BH106/'$$xSchpostCouncil 22'!BH$123</f>
        <v>0</v>
      </c>
      <c r="BI106" s="6"/>
      <c r="BJ106" s="43">
        <f>'$$xSchpostCouncil 22'!BJ106/'$$xSchpostCouncil 22'!BJ$123</f>
        <v>0</v>
      </c>
      <c r="BK106" s="6"/>
      <c r="BL106" s="43">
        <f>'$$xSchpostCouncil 22'!BL106/'$$xSchpostCouncil 22'!BL$123</f>
        <v>0</v>
      </c>
      <c r="BM106" s="6"/>
      <c r="BN106" s="43">
        <f>'$$xSchpostCouncil 22'!BN106/'$$xSchpostCouncil 22'!BN$123</f>
        <v>0</v>
      </c>
      <c r="BO106" s="43">
        <f>'$$xSchpostCouncil 22'!BO106/'$$xSchpostCouncil 22'!BO$123</f>
        <v>0</v>
      </c>
      <c r="BP106" s="6"/>
      <c r="BQ106" s="6"/>
      <c r="BR106" s="6"/>
      <c r="BS106" s="6"/>
      <c r="BT106" s="6"/>
      <c r="BU106" s="43">
        <f>'$$xSchpostCouncil 22'!BU106/'$$xSchpostCouncil 22'!BU$123</f>
        <v>0</v>
      </c>
      <c r="BV106" s="43">
        <f>'$$xSchpostCouncil 22'!BV106/'$$xSchpostCouncil 22'!BV$123</f>
        <v>0</v>
      </c>
      <c r="BW106" s="43">
        <f>'$$xSchpostCouncil 22'!BW106/'$$xSchpostCouncil 22'!BW$123</f>
        <v>0</v>
      </c>
      <c r="BX106" s="6">
        <v>430358.5</v>
      </c>
      <c r="BY106" s="6"/>
      <c r="BZ106" s="6"/>
      <c r="CA106" s="6"/>
      <c r="CB106" s="6"/>
      <c r="CC106" s="6"/>
      <c r="CD106" s="6"/>
      <c r="CE106" s="6"/>
      <c r="CF106" s="6">
        <v>-337602</v>
      </c>
      <c r="CI106" s="43">
        <f>'$$xSchpostCouncil 22'!CI106/'$$xSchpostCouncil 22'!CI$123</f>
        <v>1</v>
      </c>
      <c r="CJ106" s="43">
        <f>'$$xSchpostCouncil 22'!CJ106/'$$xSchpostCouncil 22'!CJ$123</f>
        <v>1.6999980834222412</v>
      </c>
      <c r="CK106" s="43">
        <f>'$$xSchpostCouncil 22'!CK106/'$$xSchpostCouncil 22'!CK$123</f>
        <v>1</v>
      </c>
      <c r="CL106" s="43">
        <f>'$$xSchpostCouncil 22'!CL106/'$$xSchpostCouncil 22'!CL$123</f>
        <v>1.3000059242876043</v>
      </c>
      <c r="CM106" s="43">
        <f>'$$xSchpostCouncil 22'!CM106/'$$xSchpostCouncil 22'!CM$123</f>
        <v>0</v>
      </c>
      <c r="CN106" s="43">
        <f>'$$xSchpostCouncil 22'!CN106/'$$xSchpostCouncil 22'!CN$123</f>
        <v>0</v>
      </c>
      <c r="CO106" s="43">
        <f>'$$xSchpostCouncil 22'!CO106/'$$xSchpostCouncil 22'!CO$123</f>
        <v>0</v>
      </c>
      <c r="CP106" s="43">
        <f>'$$xSchpostCouncil 22'!CP106/'$$xSchpostCouncil 22'!CP$123</f>
        <v>0</v>
      </c>
      <c r="CQ106" s="43">
        <f>'$$xSchpostCouncil 22'!CQ106/'$$xSchpostCouncil 22'!CQ$123</f>
        <v>23</v>
      </c>
      <c r="CR106" s="43">
        <f>'$$xSchpostCouncil 22'!CR106/'$$xSchpostCouncil 22'!CR$123</f>
        <v>3</v>
      </c>
      <c r="CS106" s="6">
        <v>23000</v>
      </c>
      <c r="CT106" s="6"/>
      <c r="CU106" s="6">
        <v>100000</v>
      </c>
      <c r="CV106" s="43">
        <f>'$$xSchpostCouncil 22'!CV106/'$$xSchpostCouncil 22'!CV$123</f>
        <v>0</v>
      </c>
      <c r="CW106" s="43">
        <f>'$$xSchpostCouncil 22'!CW106/'$$xSchpostCouncil 22'!CW$123</f>
        <v>1</v>
      </c>
      <c r="CX106" s="6">
        <v>0</v>
      </c>
      <c r="CY106" s="6"/>
      <c r="CZ106" s="6"/>
      <c r="DB106" s="43">
        <f>'$$xSchpostCouncil 22'!DB106/'$$xSchpostCouncil 22'!DB$123</f>
        <v>0</v>
      </c>
      <c r="DC106" s="43">
        <f>'$$xSchpostCouncil 22'!DC106/'$$xSchpostCouncil 22'!DC$123</f>
        <v>0</v>
      </c>
      <c r="DF106" s="43">
        <f>'$$xSchpostCouncil 22'!DF106/'$$xSchpostCouncil 22'!DF$123</f>
        <v>0</v>
      </c>
      <c r="DG106" s="43">
        <f>'$$xSchpostCouncil 22'!DG106/'$$xSchpostCouncil 22'!DG$123</f>
        <v>0</v>
      </c>
      <c r="DH106" s="43">
        <f>'$$xSchpostCouncil 22'!DH106/'$$xSchpostCouncil 22'!DH$123</f>
        <v>0</v>
      </c>
      <c r="DI106" s="43">
        <f>'$$xSchpostCouncil 22'!DI106/'$$xSchpostCouncil 22'!DI$123</f>
        <v>1</v>
      </c>
      <c r="DJ106" s="43">
        <f>'$$xSchpostCouncil 22'!DJ106/'$$xSchpostCouncil 22'!DJ$123</f>
        <v>0</v>
      </c>
      <c r="DK106" s="43">
        <f>'$$xSchpostCouncil 22'!DK106/'$$xSchpostCouncil 22'!DK$123</f>
        <v>0</v>
      </c>
      <c r="DL106" s="6">
        <v>3405</v>
      </c>
      <c r="DM106" s="6"/>
      <c r="DN106" s="43">
        <f>'$$xSchpostCouncil 22'!DN106/'$$xSchpostCouncil 22'!DN$123</f>
        <v>0</v>
      </c>
      <c r="DO106" s="6"/>
      <c r="DP106" s="6">
        <v>18000</v>
      </c>
      <c r="DU106" s="6">
        <f>VLOOKUP($A106,[3]Totals!$B$2:$K$119,10,FALSE)</f>
        <v>128750.27</v>
      </c>
      <c r="DV106" s="6">
        <f>VLOOKUP($A106,[3]Totals!$B$2:$K$119,9,FALSE)</f>
        <v>58065</v>
      </c>
    </row>
    <row r="107" spans="1:126" x14ac:dyDescent="0.2">
      <c r="A107" s="3">
        <v>324</v>
      </c>
      <c r="B107" s="2" t="s">
        <v>18</v>
      </c>
      <c r="C107" t="s">
        <v>7</v>
      </c>
      <c r="D107">
        <v>4</v>
      </c>
      <c r="E107" s="1">
        <v>423</v>
      </c>
      <c r="F107" s="4">
        <v>0.40200000000000002</v>
      </c>
      <c r="G107">
        <v>170</v>
      </c>
      <c r="H107" s="43">
        <f>'$$xSchpostCouncil 22'!H107/'$$xSchpostCouncil 22'!H$123</f>
        <v>1</v>
      </c>
      <c r="I107" s="43">
        <f>'$$xSchpostCouncil 22'!I107/'$$xSchpostCouncil 22'!I$123</f>
        <v>0</v>
      </c>
      <c r="J107" s="43">
        <f>'$$xSchpostCouncil 22'!J107/'$$xSchpostCouncil 22'!J$123</f>
        <v>0</v>
      </c>
      <c r="K107" s="43">
        <f>'$$xSchpostCouncil 22'!K107/'$$xSchpostCouncil 22'!K$123</f>
        <v>1</v>
      </c>
      <c r="L107" s="6">
        <v>8049</v>
      </c>
      <c r="M107" s="43">
        <f>'$$xSchpostCouncil 22'!M107/'$$xSchpostCouncil 22'!M$123</f>
        <v>1</v>
      </c>
      <c r="N107" s="43">
        <f>'$$xSchpostCouncil 22'!N107/'$$xSchpostCouncil 22'!N$123</f>
        <v>1</v>
      </c>
      <c r="O107" s="43">
        <f>'$$xSchpostCouncil 22'!O107/'$$xSchpostCouncil 22'!O$123</f>
        <v>3</v>
      </c>
      <c r="P107" s="43">
        <f>'$$xSchpostCouncil 22'!P107/'$$xSchpostCouncil 22'!P$123</f>
        <v>1</v>
      </c>
      <c r="Q107" s="43">
        <f>'$$xSchpostCouncil 22'!Q107/'$$xSchpostCouncil 22'!Q$123</f>
        <v>2</v>
      </c>
      <c r="R107" s="43">
        <f>'$$xSchpostCouncil 22'!R107/'$$xSchpostCouncil 22'!R$123</f>
        <v>2</v>
      </c>
      <c r="S107" s="43">
        <f>'$$xSchpostCouncil 22'!S107/'$$xSchpostCouncil 22'!S$123</f>
        <v>2</v>
      </c>
      <c r="T107" s="43">
        <f>'$$xSchpostCouncil 22'!T107/'$$xSchpostCouncil 22'!T$123</f>
        <v>6</v>
      </c>
      <c r="U107" s="6"/>
      <c r="V107" s="6"/>
      <c r="W107" s="6"/>
      <c r="X107" s="6"/>
      <c r="Y107" s="43">
        <f>'$$xSchpostCouncil 22'!Y107/'$$xSchpostCouncil 22'!Y$123</f>
        <v>0</v>
      </c>
      <c r="Z107" s="43">
        <f>'$$xSchpostCouncil 22'!Z107/'$$xSchpostCouncil 22'!Z$123</f>
        <v>0</v>
      </c>
      <c r="AA107" s="43">
        <f>'$$xSchpostCouncil 22'!AA107/'$$xSchpostCouncil 22'!AA$123</f>
        <v>0</v>
      </c>
      <c r="AB107" s="43">
        <f>'$$xSchpostCouncil 22'!AB107/'$$xSchpostCouncil 22'!AB$123</f>
        <v>0</v>
      </c>
      <c r="AC107" s="6"/>
      <c r="AD107" s="6">
        <v>175752</v>
      </c>
      <c r="AE107" s="43">
        <f>'$$xSchpostCouncil 22'!AE107/'$$xSchpostCouncil 22'!AE$123</f>
        <v>1</v>
      </c>
      <c r="AF107" s="43">
        <f>'$$xSchpostCouncil 22'!AF107/'$$xSchpostCouncil 22'!AF$123</f>
        <v>2</v>
      </c>
      <c r="AG107" s="43">
        <f>'$$xSchpostCouncil 22'!AG107/'$$xSchpostCouncil 22'!AG$123</f>
        <v>8</v>
      </c>
      <c r="AH107" s="43">
        <f>'$$xSchpostCouncil 22'!AH107/'$$xSchpostCouncil 22'!AH$123</f>
        <v>0</v>
      </c>
      <c r="AI107" s="43">
        <f>'$$xSchpostCouncil 22'!AI107/'$$xSchpostCouncil 22'!AI$123</f>
        <v>8</v>
      </c>
      <c r="AJ107" s="43"/>
      <c r="AK107" s="43">
        <f>'$$xSchpostCouncil 22'!AK107/'$$xSchpostCouncil 22'!AK$123</f>
        <v>0</v>
      </c>
      <c r="AL107" s="43">
        <f>'$$xSchpostCouncil 22'!AL107/'$$xSchpostCouncil 22'!AL$123</f>
        <v>1</v>
      </c>
      <c r="AM107" s="6"/>
      <c r="AN107" s="6"/>
      <c r="AO107" s="43">
        <f>'$$xSchpostCouncil 22'!AO107/'$$xSchpostCouncil 22'!AO$123</f>
        <v>8</v>
      </c>
      <c r="AP107" s="43">
        <f>'$$xSchpostCouncil 22'!AP107/'$$xSchpostCouncil 22'!AP$123</f>
        <v>0</v>
      </c>
      <c r="AQ107" s="43">
        <f>'$$xSchpostCouncil 22'!AQ107/'$$xSchpostCouncil 22'!AQ$123</f>
        <v>0</v>
      </c>
      <c r="AR107" s="6"/>
      <c r="AS107" s="6">
        <f>74800-40800</f>
        <v>34000</v>
      </c>
      <c r="AT107" s="6">
        <f>74800-34000</f>
        <v>40800</v>
      </c>
      <c r="AU107" s="6"/>
      <c r="AV107" s="6"/>
      <c r="AW107" s="6">
        <v>74800</v>
      </c>
      <c r="AX107" s="6"/>
      <c r="AY107" s="6"/>
      <c r="AZ107" s="6">
        <v>191803.36000000002</v>
      </c>
      <c r="BA107" s="6"/>
      <c r="BB107" s="6"/>
      <c r="BC107" s="43">
        <f>'$$xSchpostCouncil 22'!BC107/'$$xSchpostCouncil 22'!BC$123</f>
        <v>0</v>
      </c>
      <c r="BD107" s="43">
        <f>'$$xSchpostCouncil 22'!BD107/'$$xSchpostCouncil 22'!BD$123</f>
        <v>0</v>
      </c>
      <c r="BE107" s="6"/>
      <c r="BF107" s="6"/>
      <c r="BG107" s="6"/>
      <c r="BH107" s="43">
        <f>'$$xSchpostCouncil 22'!BH107/'$$xSchpostCouncil 22'!BH$123</f>
        <v>0</v>
      </c>
      <c r="BI107" s="6"/>
      <c r="BJ107" s="43">
        <f>'$$xSchpostCouncil 22'!BJ107/'$$xSchpostCouncil 22'!BJ$123</f>
        <v>0</v>
      </c>
      <c r="BK107" s="6"/>
      <c r="BL107" s="43">
        <f>'$$xSchpostCouncil 22'!BL107/'$$xSchpostCouncil 22'!BL$123</f>
        <v>0</v>
      </c>
      <c r="BM107" s="6"/>
      <c r="BN107" s="43">
        <f>'$$xSchpostCouncil 22'!BN107/'$$xSchpostCouncil 22'!BN$123</f>
        <v>0</v>
      </c>
      <c r="BO107" s="43">
        <f>'$$xSchpostCouncil 22'!BO107/'$$xSchpostCouncil 22'!BO$123</f>
        <v>0</v>
      </c>
      <c r="BP107" s="6"/>
      <c r="BQ107" s="6"/>
      <c r="BR107" s="6"/>
      <c r="BS107" s="6"/>
      <c r="BT107" s="6"/>
      <c r="BU107" s="43">
        <f>'$$xSchpostCouncil 22'!BU107/'$$xSchpostCouncil 22'!BU$123</f>
        <v>0</v>
      </c>
      <c r="BV107" s="43">
        <f>'$$xSchpostCouncil 22'!BV107/'$$xSchpostCouncil 22'!BV$123</f>
        <v>0</v>
      </c>
      <c r="BW107" s="43">
        <f>'$$xSchpostCouncil 22'!BW107/'$$xSchpostCouncil 22'!BW$123</f>
        <v>0</v>
      </c>
      <c r="BX107" s="6">
        <v>430358</v>
      </c>
      <c r="BY107" s="6"/>
      <c r="BZ107" s="6"/>
      <c r="CA107" s="6"/>
      <c r="CB107" s="6"/>
      <c r="CC107" s="6">
        <v>616926</v>
      </c>
      <c r="CD107" s="6"/>
      <c r="CE107" s="6"/>
      <c r="CF107" s="6">
        <v>10200</v>
      </c>
      <c r="CI107" s="43">
        <f>'$$xSchpostCouncil 22'!CI107/'$$xSchpostCouncil 22'!CI$123</f>
        <v>1</v>
      </c>
      <c r="CJ107" s="43">
        <f>'$$xSchpostCouncil 22'!CJ107/'$$xSchpostCouncil 22'!CJ$123</f>
        <v>1.1000006388592529</v>
      </c>
      <c r="CK107" s="43">
        <f>'$$xSchpostCouncil 22'!CK107/'$$xSchpostCouncil 22'!CK$123</f>
        <v>1</v>
      </c>
      <c r="CL107" s="43">
        <f>'$$xSchpostCouncil 22'!CL107/'$$xSchpostCouncil 22'!CL$123</f>
        <v>1.1000019747625347</v>
      </c>
      <c r="CM107" s="43">
        <f>'$$xSchpostCouncil 22'!CM107/'$$xSchpostCouncil 22'!CM$123</f>
        <v>0</v>
      </c>
      <c r="CN107" s="43">
        <f>'$$xSchpostCouncil 22'!CN107/'$$xSchpostCouncil 22'!CN$123</f>
        <v>0</v>
      </c>
      <c r="CO107" s="43">
        <f>'$$xSchpostCouncil 22'!CO107/'$$xSchpostCouncil 22'!CO$123</f>
        <v>4.500004441720189</v>
      </c>
      <c r="CP107" s="43">
        <f>'$$xSchpostCouncil 22'!CP107/'$$xSchpostCouncil 22'!CP$123</f>
        <v>3</v>
      </c>
      <c r="CQ107" s="43">
        <f>'$$xSchpostCouncil 22'!CQ107/'$$xSchpostCouncil 22'!CQ$123</f>
        <v>17</v>
      </c>
      <c r="CR107" s="43">
        <f>'$$xSchpostCouncil 22'!CR107/'$$xSchpostCouncil 22'!CR$123</f>
        <v>0</v>
      </c>
      <c r="CS107" s="6"/>
      <c r="CT107" s="6"/>
      <c r="CU107" s="6"/>
      <c r="CV107" s="43">
        <f>'$$xSchpostCouncil 22'!CV107/'$$xSchpostCouncil 22'!CV$123</f>
        <v>0</v>
      </c>
      <c r="CW107" s="43">
        <f>'$$xSchpostCouncil 22'!CW107/'$$xSchpostCouncil 22'!CW$123</f>
        <v>0</v>
      </c>
      <c r="CX107" s="6">
        <v>0</v>
      </c>
      <c r="CY107" s="6"/>
      <c r="CZ107" s="6"/>
      <c r="DB107" s="43">
        <f>'$$xSchpostCouncil 22'!DB107/'$$xSchpostCouncil 22'!DB$123</f>
        <v>1</v>
      </c>
      <c r="DC107" s="43">
        <f>'$$xSchpostCouncil 22'!DC107/'$$xSchpostCouncil 22'!DC$123</f>
        <v>0</v>
      </c>
      <c r="DF107" s="43">
        <f>'$$xSchpostCouncil 22'!DF107/'$$xSchpostCouncil 22'!DF$123</f>
        <v>0</v>
      </c>
      <c r="DG107" s="43">
        <f>'$$xSchpostCouncil 22'!DG107/'$$xSchpostCouncil 22'!DG$123</f>
        <v>0</v>
      </c>
      <c r="DH107" s="43">
        <f>'$$xSchpostCouncil 22'!DH107/'$$xSchpostCouncil 22'!DH$123</f>
        <v>0</v>
      </c>
      <c r="DI107" s="43">
        <f>'$$xSchpostCouncil 22'!DI107/'$$xSchpostCouncil 22'!DI$123</f>
        <v>0</v>
      </c>
      <c r="DJ107" s="43">
        <f>'$$xSchpostCouncil 22'!DJ107/'$$xSchpostCouncil 22'!DJ$123</f>
        <v>0</v>
      </c>
      <c r="DK107" s="43">
        <f>'$$xSchpostCouncil 22'!DK107/'$$xSchpostCouncil 22'!DK$123</f>
        <v>0</v>
      </c>
      <c r="DL107" s="6">
        <v>3400</v>
      </c>
      <c r="DM107" s="6"/>
      <c r="DN107" s="43">
        <f>'$$xSchpostCouncil 22'!DN107/'$$xSchpostCouncil 22'!DN$123</f>
        <v>0</v>
      </c>
      <c r="DO107" s="6"/>
      <c r="DP107" s="6">
        <v>38675</v>
      </c>
      <c r="DU107" s="6">
        <f>VLOOKUP($A107,[3]Totals!$B$2:$K$119,10,FALSE)</f>
        <v>113972.82</v>
      </c>
      <c r="DV107" s="6">
        <f>VLOOKUP($A107,[3]Totals!$B$2:$K$119,9,FALSE)</f>
        <v>378024</v>
      </c>
    </row>
    <row r="108" spans="1:126" x14ac:dyDescent="0.2">
      <c r="A108" s="3">
        <v>325</v>
      </c>
      <c r="B108" s="2" t="s">
        <v>17</v>
      </c>
      <c r="C108" t="s">
        <v>7</v>
      </c>
      <c r="D108">
        <v>7</v>
      </c>
      <c r="E108" s="1">
        <v>318</v>
      </c>
      <c r="F108" s="4">
        <v>0.82099999999999995</v>
      </c>
      <c r="G108">
        <v>261</v>
      </c>
      <c r="H108" s="43">
        <f>'$$xSchpostCouncil 22'!H108/'$$xSchpostCouncil 22'!H$123</f>
        <v>1</v>
      </c>
      <c r="I108" s="43">
        <f>'$$xSchpostCouncil 22'!I108/'$$xSchpostCouncil 22'!I$123</f>
        <v>0</v>
      </c>
      <c r="J108" s="43">
        <f>'$$xSchpostCouncil 22'!J108/'$$xSchpostCouncil 22'!J$123</f>
        <v>0</v>
      </c>
      <c r="K108" s="43">
        <f>'$$xSchpostCouncil 22'!K108/'$$xSchpostCouncil 22'!K$123</f>
        <v>1</v>
      </c>
      <c r="L108" s="6">
        <v>5394</v>
      </c>
      <c r="M108" s="43">
        <f>'$$xSchpostCouncil 22'!M108/'$$xSchpostCouncil 22'!M$123</f>
        <v>1</v>
      </c>
      <c r="N108" s="43">
        <f>'$$xSchpostCouncil 22'!N108/'$$xSchpostCouncil 22'!N$123</f>
        <v>1</v>
      </c>
      <c r="O108" s="43">
        <f>'$$xSchpostCouncil 22'!O108/'$$xSchpostCouncil 22'!O$123</f>
        <v>2</v>
      </c>
      <c r="P108" s="43">
        <f>'$$xSchpostCouncil 22'!P108/'$$xSchpostCouncil 22'!P$123</f>
        <v>1</v>
      </c>
      <c r="Q108" s="43">
        <f>'$$xSchpostCouncil 22'!Q108/'$$xSchpostCouncil 22'!Q$123</f>
        <v>2</v>
      </c>
      <c r="R108" s="43">
        <f>'$$xSchpostCouncil 22'!R108/'$$xSchpostCouncil 22'!R$123</f>
        <v>2</v>
      </c>
      <c r="S108" s="43">
        <f>'$$xSchpostCouncil 22'!S108/'$$xSchpostCouncil 22'!S$123</f>
        <v>1</v>
      </c>
      <c r="T108" s="43">
        <f>'$$xSchpostCouncil 22'!T108/'$$xSchpostCouncil 22'!T$123</f>
        <v>5</v>
      </c>
      <c r="U108" s="6"/>
      <c r="V108" s="6"/>
      <c r="W108" s="6"/>
      <c r="X108" s="6"/>
      <c r="Y108" s="43">
        <f>'$$xSchpostCouncil 22'!Y108/'$$xSchpostCouncil 22'!Y$123</f>
        <v>0</v>
      </c>
      <c r="Z108" s="43">
        <f>'$$xSchpostCouncil 22'!Z108/'$$xSchpostCouncil 22'!Z$123</f>
        <v>0</v>
      </c>
      <c r="AA108" s="43">
        <f>'$$xSchpostCouncil 22'!AA108/'$$xSchpostCouncil 22'!AA$123</f>
        <v>0</v>
      </c>
      <c r="AB108" s="43">
        <f>'$$xSchpostCouncil 22'!AB108/'$$xSchpostCouncil 22'!AB$123</f>
        <v>0</v>
      </c>
      <c r="AC108" s="6"/>
      <c r="AD108" s="6">
        <v>122825</v>
      </c>
      <c r="AE108" s="43">
        <f>'$$xSchpostCouncil 22'!AE108/'$$xSchpostCouncil 22'!AE$123</f>
        <v>1</v>
      </c>
      <c r="AF108" s="43">
        <f>'$$xSchpostCouncil 22'!AF108/'$$xSchpostCouncil 22'!AF$123</f>
        <v>1</v>
      </c>
      <c r="AG108" s="43">
        <f>'$$xSchpostCouncil 22'!AG108/'$$xSchpostCouncil 22'!AG$123</f>
        <v>7</v>
      </c>
      <c r="AH108" s="43">
        <f>'$$xSchpostCouncil 22'!AH108/'$$xSchpostCouncil 22'!AH$123</f>
        <v>0</v>
      </c>
      <c r="AI108" s="43">
        <f>'$$xSchpostCouncil 22'!AI108/'$$xSchpostCouncil 22'!AI$123</f>
        <v>5</v>
      </c>
      <c r="AJ108" s="43"/>
      <c r="AK108" s="43">
        <f>'$$xSchpostCouncil 22'!AK108/'$$xSchpostCouncil 22'!AK$123</f>
        <v>0</v>
      </c>
      <c r="AL108" s="43">
        <f>'$$xSchpostCouncil 22'!AL108/'$$xSchpostCouncil 22'!AL$123</f>
        <v>0</v>
      </c>
      <c r="AM108" s="6"/>
      <c r="AN108" s="6"/>
      <c r="AO108" s="43">
        <f>'$$xSchpostCouncil 22'!AO108/'$$xSchpostCouncil 22'!AO$123</f>
        <v>0</v>
      </c>
      <c r="AP108" s="43">
        <f>'$$xSchpostCouncil 22'!AP108/'$$xSchpostCouncil 22'!AP$123</f>
        <v>0.23000115484724926</v>
      </c>
      <c r="AQ108" s="43">
        <f>'$$xSchpostCouncil 22'!AQ108/'$$xSchpostCouncil 22'!AQ$123</f>
        <v>0</v>
      </c>
      <c r="AR108" s="6"/>
      <c r="AS108" s="6">
        <f>34000-20400</f>
        <v>13600</v>
      </c>
      <c r="AT108" s="6">
        <f>34000-23800</f>
        <v>10200</v>
      </c>
      <c r="AU108" s="6">
        <v>10200</v>
      </c>
      <c r="AV108" s="6"/>
      <c r="AW108" s="6">
        <v>44200</v>
      </c>
      <c r="AX108" s="6"/>
      <c r="AY108" s="6"/>
      <c r="AZ108" s="6">
        <v>250842.875</v>
      </c>
      <c r="BA108" s="6"/>
      <c r="BB108" s="6"/>
      <c r="BC108" s="43">
        <f>'$$xSchpostCouncil 22'!BC108/'$$xSchpostCouncil 22'!BC$123</f>
        <v>1</v>
      </c>
      <c r="BD108" s="43">
        <f>'$$xSchpostCouncil 22'!BD108/'$$xSchpostCouncil 22'!BD$123</f>
        <v>0</v>
      </c>
      <c r="BE108" s="6"/>
      <c r="BF108" s="6"/>
      <c r="BG108" s="6"/>
      <c r="BH108" s="43">
        <f>'$$xSchpostCouncil 22'!BH108/'$$xSchpostCouncil 22'!BH$123</f>
        <v>0</v>
      </c>
      <c r="BI108" s="6"/>
      <c r="BJ108" s="43">
        <f>'$$xSchpostCouncil 22'!BJ108/'$$xSchpostCouncil 22'!BJ$123</f>
        <v>0</v>
      </c>
      <c r="BK108" s="6"/>
      <c r="BL108" s="43">
        <f>'$$xSchpostCouncil 22'!BL108/'$$xSchpostCouncil 22'!BL$123</f>
        <v>0</v>
      </c>
      <c r="BM108" s="6"/>
      <c r="BN108" s="43">
        <f>'$$xSchpostCouncil 22'!BN108/'$$xSchpostCouncil 22'!BN$123</f>
        <v>0</v>
      </c>
      <c r="BO108" s="43">
        <f>'$$xSchpostCouncil 22'!BO108/'$$xSchpostCouncil 22'!BO$123</f>
        <v>0</v>
      </c>
      <c r="BP108" s="6"/>
      <c r="BQ108" s="6"/>
      <c r="BR108" s="6">
        <v>13859</v>
      </c>
      <c r="BS108" s="6"/>
      <c r="BT108" s="6"/>
      <c r="BU108" s="43">
        <f>'$$xSchpostCouncil 22'!BU108/'$$xSchpostCouncil 22'!BU$123</f>
        <v>0</v>
      </c>
      <c r="BV108" s="43">
        <f>'$$xSchpostCouncil 22'!BV108/'$$xSchpostCouncil 22'!BV$123</f>
        <v>0</v>
      </c>
      <c r="BW108" s="43">
        <f>'$$xSchpostCouncil 22'!BW108/'$$xSchpostCouncil 22'!BW$123</f>
        <v>0</v>
      </c>
      <c r="BX108" s="6">
        <v>660724.93999999994</v>
      </c>
      <c r="BY108" s="6"/>
      <c r="BZ108" s="6"/>
      <c r="CA108" s="6"/>
      <c r="CB108" s="6"/>
      <c r="CC108" s="6"/>
      <c r="CD108" s="6"/>
      <c r="CE108" s="6"/>
      <c r="CF108" s="6">
        <v>0</v>
      </c>
      <c r="CI108" s="43">
        <f>'$$xSchpostCouncil 22'!CI108/'$$xSchpostCouncil 22'!CI$123</f>
        <v>1</v>
      </c>
      <c r="CJ108" s="43">
        <f>'$$xSchpostCouncil 22'!CJ108/'$$xSchpostCouncil 22'!CJ$123</f>
        <v>0.79999872228149416</v>
      </c>
      <c r="CK108" s="43">
        <f>'$$xSchpostCouncil 22'!CK108/'$$xSchpostCouncil 22'!CK$123</f>
        <v>1</v>
      </c>
      <c r="CL108" s="43">
        <f>'$$xSchpostCouncil 22'!CL108/'$$xSchpostCouncil 22'!CL$123</f>
        <v>0</v>
      </c>
      <c r="CM108" s="43">
        <f>'$$xSchpostCouncil 22'!CM108/'$$xSchpostCouncil 22'!CM$123</f>
        <v>0</v>
      </c>
      <c r="CN108" s="43">
        <f>'$$xSchpostCouncil 22'!CN108/'$$xSchpostCouncil 22'!CN$123</f>
        <v>0</v>
      </c>
      <c r="CO108" s="43">
        <f>'$$xSchpostCouncil 22'!CO108/'$$xSchpostCouncil 22'!CO$123</f>
        <v>3</v>
      </c>
      <c r="CP108" s="43">
        <f>'$$xSchpostCouncil 22'!CP108/'$$xSchpostCouncil 22'!CP$123</f>
        <v>3</v>
      </c>
      <c r="CQ108" s="43">
        <f>'$$xSchpostCouncil 22'!CQ108/'$$xSchpostCouncil 22'!CQ$123</f>
        <v>13</v>
      </c>
      <c r="CR108" s="43">
        <f>'$$xSchpostCouncil 22'!CR108/'$$xSchpostCouncil 22'!CR$123</f>
        <v>0</v>
      </c>
      <c r="CS108" s="6"/>
      <c r="CT108" s="6"/>
      <c r="CU108" s="6"/>
      <c r="CV108" s="43">
        <f>'$$xSchpostCouncil 22'!CV108/'$$xSchpostCouncil 22'!CV$123</f>
        <v>0</v>
      </c>
      <c r="CW108" s="43">
        <f>'$$xSchpostCouncil 22'!CW108/'$$xSchpostCouncil 22'!CW$123</f>
        <v>0</v>
      </c>
      <c r="CX108" s="6">
        <v>0</v>
      </c>
      <c r="CY108" s="6"/>
      <c r="CZ108" s="6"/>
      <c r="DB108" s="43">
        <f>'$$xSchpostCouncil 22'!DB108/'$$xSchpostCouncil 22'!DB$123</f>
        <v>0</v>
      </c>
      <c r="DC108" s="43">
        <f>'$$xSchpostCouncil 22'!DC108/'$$xSchpostCouncil 22'!DC$123</f>
        <v>0</v>
      </c>
      <c r="DF108" s="43">
        <f>'$$xSchpostCouncil 22'!DF108/'$$xSchpostCouncil 22'!DF$123</f>
        <v>0</v>
      </c>
      <c r="DG108" s="43">
        <f>'$$xSchpostCouncil 22'!DG108/'$$xSchpostCouncil 22'!DG$123</f>
        <v>0</v>
      </c>
      <c r="DH108" s="43">
        <f>'$$xSchpostCouncil 22'!DH108/'$$xSchpostCouncil 22'!DH$123</f>
        <v>0</v>
      </c>
      <c r="DI108" s="43">
        <f>'$$xSchpostCouncil 22'!DI108/'$$xSchpostCouncil 22'!DI$123</f>
        <v>0</v>
      </c>
      <c r="DJ108" s="43">
        <f>'$$xSchpostCouncil 22'!DJ108/'$$xSchpostCouncil 22'!DJ$123</f>
        <v>0</v>
      </c>
      <c r="DK108" s="43">
        <f>'$$xSchpostCouncil 22'!DK108/'$$xSchpostCouncil 22'!DK$123</f>
        <v>0</v>
      </c>
      <c r="DL108" s="6">
        <v>10475</v>
      </c>
      <c r="DM108" s="6"/>
      <c r="DN108" s="43">
        <f>'$$xSchpostCouncil 22'!DN108/'$$xSchpostCouncil 22'!DN$123</f>
        <v>0</v>
      </c>
      <c r="DO108" s="6"/>
      <c r="DP108" s="6">
        <v>28275</v>
      </c>
      <c r="DU108" s="6">
        <f>VLOOKUP($A108,[3]Totals!$B$2:$K$119,10,FALSE)</f>
        <v>241621.21</v>
      </c>
      <c r="DV108" s="6">
        <f>VLOOKUP($A108,[3]Totals!$B$2:$K$119,9,FALSE)</f>
        <v>168018</v>
      </c>
    </row>
    <row r="109" spans="1:126" x14ac:dyDescent="0.2">
      <c r="A109" s="3">
        <v>326</v>
      </c>
      <c r="B109" s="2" t="s">
        <v>16</v>
      </c>
      <c r="C109" t="s">
        <v>7</v>
      </c>
      <c r="D109">
        <v>2</v>
      </c>
      <c r="E109" s="1">
        <v>300</v>
      </c>
      <c r="F109" s="4">
        <v>0.437</v>
      </c>
      <c r="G109">
        <v>131</v>
      </c>
      <c r="H109" s="43">
        <f>'$$xSchpostCouncil 22'!H109/'$$xSchpostCouncil 22'!H$123</f>
        <v>1</v>
      </c>
      <c r="I109" s="43">
        <f>'$$xSchpostCouncil 22'!I109/'$$xSchpostCouncil 22'!I$123</f>
        <v>0</v>
      </c>
      <c r="J109" s="43">
        <f>'$$xSchpostCouncil 22'!J109/'$$xSchpostCouncil 22'!J$123</f>
        <v>0</v>
      </c>
      <c r="K109" s="43">
        <f>'$$xSchpostCouncil 22'!K109/'$$xSchpostCouncil 22'!K$123</f>
        <v>1</v>
      </c>
      <c r="L109" s="6">
        <v>4177</v>
      </c>
      <c r="M109" s="43">
        <f>'$$xSchpostCouncil 22'!M109/'$$xSchpostCouncil 22'!M$123</f>
        <v>1</v>
      </c>
      <c r="N109" s="43">
        <f>'$$xSchpostCouncil 22'!N109/'$$xSchpostCouncil 22'!N$123</f>
        <v>1</v>
      </c>
      <c r="O109" s="43">
        <f>'$$xSchpostCouncil 22'!O109/'$$xSchpostCouncil 22'!O$123</f>
        <v>2</v>
      </c>
      <c r="P109" s="43">
        <f>'$$xSchpostCouncil 22'!P109/'$$xSchpostCouncil 22'!P$123</f>
        <v>1</v>
      </c>
      <c r="Q109" s="43">
        <f>'$$xSchpostCouncil 22'!Q109/'$$xSchpostCouncil 22'!Q$123</f>
        <v>0</v>
      </c>
      <c r="R109" s="43">
        <f>'$$xSchpostCouncil 22'!R109/'$$xSchpostCouncil 22'!R$123</f>
        <v>5</v>
      </c>
      <c r="S109" s="43">
        <f>'$$xSchpostCouncil 22'!S109/'$$xSchpostCouncil 22'!S$123</f>
        <v>0</v>
      </c>
      <c r="T109" s="43">
        <f>'$$xSchpostCouncil 22'!T109/'$$xSchpostCouncil 22'!T$123</f>
        <v>5</v>
      </c>
      <c r="U109" s="6"/>
      <c r="V109" s="6"/>
      <c r="W109" s="6"/>
      <c r="X109" s="6"/>
      <c r="Y109" s="43">
        <f>'$$xSchpostCouncil 22'!Y109/'$$xSchpostCouncil 22'!Y$123</f>
        <v>0</v>
      </c>
      <c r="Z109" s="43">
        <f>'$$xSchpostCouncil 22'!Z109/'$$xSchpostCouncil 22'!Z$123</f>
        <v>0</v>
      </c>
      <c r="AA109" s="43">
        <f>'$$xSchpostCouncil 22'!AA109/'$$xSchpostCouncil 22'!AA$123</f>
        <v>0</v>
      </c>
      <c r="AB109" s="43">
        <f>'$$xSchpostCouncil 22'!AB109/'$$xSchpostCouncil 22'!AB$123</f>
        <v>0</v>
      </c>
      <c r="AC109" s="6"/>
      <c r="AD109" s="6">
        <v>119941</v>
      </c>
      <c r="AE109" s="43">
        <f>'$$xSchpostCouncil 22'!AE109/'$$xSchpostCouncil 22'!AE$123</f>
        <v>1</v>
      </c>
      <c r="AF109" s="43">
        <f>'$$xSchpostCouncil 22'!AF109/'$$xSchpostCouncil 22'!AF$123</f>
        <v>1</v>
      </c>
      <c r="AG109" s="43">
        <f>'$$xSchpostCouncil 22'!AG109/'$$xSchpostCouncil 22'!AG$123</f>
        <v>3</v>
      </c>
      <c r="AH109" s="43">
        <f>'$$xSchpostCouncil 22'!AH109/'$$xSchpostCouncil 22'!AH$123</f>
        <v>0</v>
      </c>
      <c r="AI109" s="43">
        <f>'$$xSchpostCouncil 22'!AI109/'$$xSchpostCouncil 22'!AI$123</f>
        <v>0</v>
      </c>
      <c r="AJ109" s="43"/>
      <c r="AK109" s="43">
        <f>'$$xSchpostCouncil 22'!AK109/'$$xSchpostCouncil 22'!AK$123</f>
        <v>0</v>
      </c>
      <c r="AL109" s="43">
        <f>'$$xSchpostCouncil 22'!AL109/'$$xSchpostCouncil 22'!AL$123</f>
        <v>0</v>
      </c>
      <c r="AM109" s="6"/>
      <c r="AN109" s="6"/>
      <c r="AO109" s="43">
        <f>'$$xSchpostCouncil 22'!AO109/'$$xSchpostCouncil 22'!AO$123</f>
        <v>6</v>
      </c>
      <c r="AP109" s="43">
        <f>'$$xSchpostCouncil 22'!AP109/'$$xSchpostCouncil 22'!AP$123</f>
        <v>0</v>
      </c>
      <c r="AQ109" s="43">
        <f>'$$xSchpostCouncil 22'!AQ109/'$$xSchpostCouncil 22'!AQ$123</f>
        <v>0</v>
      </c>
      <c r="AR109" s="6"/>
      <c r="AS109" s="6">
        <f>54400-27200</f>
        <v>27200</v>
      </c>
      <c r="AT109" s="6">
        <f>54400-44200</f>
        <v>10200</v>
      </c>
      <c r="AU109" s="6">
        <v>10200</v>
      </c>
      <c r="AV109" s="6"/>
      <c r="AW109" s="6">
        <v>71400</v>
      </c>
      <c r="AX109" s="6"/>
      <c r="AY109" s="6"/>
      <c r="AZ109" s="6">
        <v>136028.46999999997</v>
      </c>
      <c r="BA109" s="6"/>
      <c r="BB109" s="6"/>
      <c r="BC109" s="43">
        <f>'$$xSchpostCouncil 22'!BC109/'$$xSchpostCouncil 22'!BC$123</f>
        <v>0</v>
      </c>
      <c r="BD109" s="43">
        <f>'$$xSchpostCouncil 22'!BD109/'$$xSchpostCouncil 22'!BD$123</f>
        <v>0</v>
      </c>
      <c r="BE109" s="6"/>
      <c r="BF109" s="6"/>
      <c r="BG109" s="6"/>
      <c r="BH109" s="43">
        <f>'$$xSchpostCouncil 22'!BH109/'$$xSchpostCouncil 22'!BH$123</f>
        <v>1</v>
      </c>
      <c r="BI109" s="6">
        <v>20955</v>
      </c>
      <c r="BJ109" s="43">
        <f>'$$xSchpostCouncil 22'!BJ109/'$$xSchpostCouncil 22'!BJ$123</f>
        <v>0</v>
      </c>
      <c r="BK109" s="6"/>
      <c r="BL109" s="43">
        <f>'$$xSchpostCouncil 22'!BL109/'$$xSchpostCouncil 22'!BL$123</f>
        <v>0</v>
      </c>
      <c r="BM109" s="6"/>
      <c r="BN109" s="43">
        <f>'$$xSchpostCouncil 22'!BN109/'$$xSchpostCouncil 22'!BN$123</f>
        <v>0</v>
      </c>
      <c r="BO109" s="43">
        <f>'$$xSchpostCouncil 22'!BO109/'$$xSchpostCouncil 22'!BO$123</f>
        <v>0</v>
      </c>
      <c r="BP109" s="6"/>
      <c r="BQ109" s="6"/>
      <c r="BR109" s="6"/>
      <c r="BS109" s="6"/>
      <c r="BT109" s="6"/>
      <c r="BU109" s="43">
        <f>'$$xSchpostCouncil 22'!BU109/'$$xSchpostCouncil 22'!BU$123</f>
        <v>0</v>
      </c>
      <c r="BV109" s="43">
        <f>'$$xSchpostCouncil 22'!BV109/'$$xSchpostCouncil 22'!BV$123</f>
        <v>0</v>
      </c>
      <c r="BW109" s="43">
        <f>'$$xSchpostCouncil 22'!BW109/'$$xSchpostCouncil 22'!BW$123</f>
        <v>0</v>
      </c>
      <c r="BX109" s="6">
        <v>331629</v>
      </c>
      <c r="BY109" s="6"/>
      <c r="BZ109" s="6"/>
      <c r="CA109" s="6"/>
      <c r="CB109" s="6"/>
      <c r="CC109" s="6">
        <v>88329</v>
      </c>
      <c r="CD109" s="6"/>
      <c r="CE109" s="6"/>
      <c r="CF109" s="6">
        <v>0</v>
      </c>
      <c r="CI109" s="43">
        <f>'$$xSchpostCouncil 22'!CI109/'$$xSchpostCouncil 22'!CI$123</f>
        <v>1</v>
      </c>
      <c r="CJ109" s="43">
        <f>'$$xSchpostCouncil 22'!CJ109/'$$xSchpostCouncil 22'!CJ$123</f>
        <v>0.79999872228149416</v>
      </c>
      <c r="CK109" s="43">
        <f>'$$xSchpostCouncil 22'!CK109/'$$xSchpostCouncil 22'!CK$123</f>
        <v>1</v>
      </c>
      <c r="CL109" s="43">
        <f>'$$xSchpostCouncil 22'!CL109/'$$xSchpostCouncil 22'!CL$123</f>
        <v>0</v>
      </c>
      <c r="CM109" s="43">
        <f>'$$xSchpostCouncil 22'!CM109/'$$xSchpostCouncil 22'!CM$123</f>
        <v>0</v>
      </c>
      <c r="CN109" s="43">
        <f>'$$xSchpostCouncil 22'!CN109/'$$xSchpostCouncil 22'!CN$123</f>
        <v>0</v>
      </c>
      <c r="CO109" s="43">
        <f>'$$xSchpostCouncil 22'!CO109/'$$xSchpostCouncil 22'!CO$123</f>
        <v>3</v>
      </c>
      <c r="CP109" s="43">
        <f>'$$xSchpostCouncil 22'!CP109/'$$xSchpostCouncil 22'!CP$123</f>
        <v>2</v>
      </c>
      <c r="CQ109" s="43">
        <f>'$$xSchpostCouncil 22'!CQ109/'$$xSchpostCouncil 22'!CQ$123</f>
        <v>11</v>
      </c>
      <c r="CR109" s="43">
        <f>'$$xSchpostCouncil 22'!CR109/'$$xSchpostCouncil 22'!CR$123</f>
        <v>0</v>
      </c>
      <c r="CS109" s="6"/>
      <c r="CT109" s="6"/>
      <c r="CU109" s="6"/>
      <c r="CV109" s="43">
        <f>'$$xSchpostCouncil 22'!CV109/'$$xSchpostCouncil 22'!CV$123</f>
        <v>0</v>
      </c>
      <c r="CW109" s="43">
        <f>'$$xSchpostCouncil 22'!CW109/'$$xSchpostCouncil 22'!CW$123</f>
        <v>0</v>
      </c>
      <c r="CX109" s="6">
        <v>0</v>
      </c>
      <c r="CY109" s="6"/>
      <c r="CZ109" s="6"/>
      <c r="DB109" s="43">
        <f>'$$xSchpostCouncil 22'!DB109/'$$xSchpostCouncil 22'!DB$123</f>
        <v>1</v>
      </c>
      <c r="DC109" s="43">
        <f>'$$xSchpostCouncil 22'!DC109/'$$xSchpostCouncil 22'!DC$123</f>
        <v>0</v>
      </c>
      <c r="DF109" s="43">
        <f>'$$xSchpostCouncil 22'!DF109/'$$xSchpostCouncil 22'!DF$123</f>
        <v>0</v>
      </c>
      <c r="DG109" s="43">
        <f>'$$xSchpostCouncil 22'!DG109/'$$xSchpostCouncil 22'!DG$123</f>
        <v>0</v>
      </c>
      <c r="DH109" s="43">
        <f>'$$xSchpostCouncil 22'!DH109/'$$xSchpostCouncil 22'!DH$123</f>
        <v>0</v>
      </c>
      <c r="DI109" s="43">
        <f>'$$xSchpostCouncil 22'!DI109/'$$xSchpostCouncil 22'!DI$123</f>
        <v>0</v>
      </c>
      <c r="DJ109" s="43">
        <f>'$$xSchpostCouncil 22'!DJ109/'$$xSchpostCouncil 22'!DJ$123</f>
        <v>0</v>
      </c>
      <c r="DK109" s="43">
        <f>'$$xSchpostCouncil 22'!DK109/'$$xSchpostCouncil 22'!DK$123</f>
        <v>0</v>
      </c>
      <c r="DL109" s="6">
        <v>2623</v>
      </c>
      <c r="DM109" s="6"/>
      <c r="DN109" s="43">
        <f>'$$xSchpostCouncil 22'!DN109/'$$xSchpostCouncil 22'!DN$123</f>
        <v>0</v>
      </c>
      <c r="DO109" s="6"/>
      <c r="DP109" s="6">
        <v>10575</v>
      </c>
      <c r="DU109" s="6">
        <f>VLOOKUP($A109,[3]Totals!$B$2:$K$119,10,FALSE)</f>
        <v>127283.02</v>
      </c>
      <c r="DV109" s="6">
        <f>VLOOKUP($A109,[3]Totals!$B$2:$K$119,9,FALSE)</f>
        <v>251984</v>
      </c>
    </row>
    <row r="110" spans="1:126" x14ac:dyDescent="0.2">
      <c r="A110" s="3">
        <v>327</v>
      </c>
      <c r="B110" s="2" t="s">
        <v>15</v>
      </c>
      <c r="C110" t="s">
        <v>7</v>
      </c>
      <c r="D110">
        <v>4</v>
      </c>
      <c r="E110" s="1">
        <v>489</v>
      </c>
      <c r="F110" s="4">
        <v>0.624</v>
      </c>
      <c r="G110">
        <v>305</v>
      </c>
      <c r="H110" s="43">
        <f>'$$xSchpostCouncil 22'!H110/'$$xSchpostCouncil 22'!H$123</f>
        <v>1</v>
      </c>
      <c r="I110" s="43">
        <f>'$$xSchpostCouncil 22'!I110/'$$xSchpostCouncil 22'!I$123</f>
        <v>0</v>
      </c>
      <c r="J110" s="43">
        <f>'$$xSchpostCouncil 22'!J110/'$$xSchpostCouncil 22'!J$123</f>
        <v>0</v>
      </c>
      <c r="K110" s="43">
        <f>'$$xSchpostCouncil 22'!K110/'$$xSchpostCouncil 22'!K$123</f>
        <v>1</v>
      </c>
      <c r="L110" s="6">
        <v>4652</v>
      </c>
      <c r="M110" s="43">
        <f>'$$xSchpostCouncil 22'!M110/'$$xSchpostCouncil 22'!M$123</f>
        <v>1</v>
      </c>
      <c r="N110" s="43">
        <f>'$$xSchpostCouncil 22'!N110/'$$xSchpostCouncil 22'!N$123</f>
        <v>1</v>
      </c>
      <c r="O110" s="43">
        <f>'$$xSchpostCouncil 22'!O110/'$$xSchpostCouncil 22'!O$123</f>
        <v>2</v>
      </c>
      <c r="P110" s="43">
        <f>'$$xSchpostCouncil 22'!P110/'$$xSchpostCouncil 22'!P$123</f>
        <v>1</v>
      </c>
      <c r="Q110" s="43">
        <f>'$$xSchpostCouncil 22'!Q110/'$$xSchpostCouncil 22'!Q$123</f>
        <v>3</v>
      </c>
      <c r="R110" s="43">
        <f>'$$xSchpostCouncil 22'!R110/'$$xSchpostCouncil 22'!R$123</f>
        <v>1</v>
      </c>
      <c r="S110" s="43">
        <f>'$$xSchpostCouncil 22'!S110/'$$xSchpostCouncil 22'!S$123</f>
        <v>3</v>
      </c>
      <c r="T110" s="43">
        <f>'$$xSchpostCouncil 22'!T110/'$$xSchpostCouncil 22'!T$123</f>
        <v>7</v>
      </c>
      <c r="U110" s="6"/>
      <c r="V110" s="6"/>
      <c r="W110" s="6"/>
      <c r="X110" s="6"/>
      <c r="Y110" s="43">
        <f>'$$xSchpostCouncil 22'!Y110/'$$xSchpostCouncil 22'!Y$123</f>
        <v>0</v>
      </c>
      <c r="Z110" s="43">
        <f>'$$xSchpostCouncil 22'!Z110/'$$xSchpostCouncil 22'!Z$123</f>
        <v>0</v>
      </c>
      <c r="AA110" s="43">
        <f>'$$xSchpostCouncil 22'!AA110/'$$xSchpostCouncil 22'!AA$123</f>
        <v>0</v>
      </c>
      <c r="AB110" s="43">
        <f>'$$xSchpostCouncil 22'!AB110/'$$xSchpostCouncil 22'!AB$123</f>
        <v>0</v>
      </c>
      <c r="AC110" s="6"/>
      <c r="AD110" s="6">
        <v>203832</v>
      </c>
      <c r="AE110" s="43">
        <f>'$$xSchpostCouncil 22'!AE110/'$$xSchpostCouncil 22'!AE$123</f>
        <v>1</v>
      </c>
      <c r="AF110" s="43">
        <f>'$$xSchpostCouncil 22'!AF110/'$$xSchpostCouncil 22'!AF$123</f>
        <v>4</v>
      </c>
      <c r="AG110" s="43">
        <f>'$$xSchpostCouncil 22'!AG110/'$$xSchpostCouncil 22'!AG$123</f>
        <v>7</v>
      </c>
      <c r="AH110" s="43">
        <f>'$$xSchpostCouncil 22'!AH110/'$$xSchpostCouncil 22'!AH$123</f>
        <v>0</v>
      </c>
      <c r="AI110" s="43">
        <f>'$$xSchpostCouncil 22'!AI110/'$$xSchpostCouncil 22'!AI$123</f>
        <v>2</v>
      </c>
      <c r="AJ110" s="43"/>
      <c r="AK110" s="43">
        <f>'$$xSchpostCouncil 22'!AK110/'$$xSchpostCouncil 22'!AK$123</f>
        <v>2</v>
      </c>
      <c r="AL110" s="43">
        <f>'$$xSchpostCouncil 22'!AL110/'$$xSchpostCouncil 22'!AL$123</f>
        <v>0</v>
      </c>
      <c r="AM110" s="6"/>
      <c r="AN110" s="6"/>
      <c r="AO110" s="43">
        <f>'$$xSchpostCouncil 22'!AO110/'$$xSchpostCouncil 22'!AO$123</f>
        <v>13</v>
      </c>
      <c r="AP110" s="43">
        <f>'$$xSchpostCouncil 22'!AP110/'$$xSchpostCouncil 22'!AP$123</f>
        <v>0</v>
      </c>
      <c r="AQ110" s="43">
        <f>'$$xSchpostCouncil 22'!AQ110/'$$xSchpostCouncil 22'!AQ$123</f>
        <v>0</v>
      </c>
      <c r="AR110" s="6"/>
      <c r="AS110" s="6">
        <f>54400-20400</f>
        <v>34000</v>
      </c>
      <c r="AT110" s="6">
        <f>54400-44200</f>
        <v>10200</v>
      </c>
      <c r="AU110" s="6">
        <v>10200</v>
      </c>
      <c r="AV110" s="6"/>
      <c r="AW110" s="6">
        <v>64600</v>
      </c>
      <c r="AX110" s="6"/>
      <c r="AY110" s="6"/>
      <c r="AZ110" s="6">
        <v>221729.75</v>
      </c>
      <c r="BA110" s="6"/>
      <c r="BB110" s="6"/>
      <c r="BC110" s="43">
        <f>'$$xSchpostCouncil 22'!BC110/'$$xSchpostCouncil 22'!BC$123</f>
        <v>0</v>
      </c>
      <c r="BD110" s="43">
        <f>'$$xSchpostCouncil 22'!BD110/'$$xSchpostCouncil 22'!BD$123</f>
        <v>0</v>
      </c>
      <c r="BE110" s="6"/>
      <c r="BF110" s="6"/>
      <c r="BG110" s="6"/>
      <c r="BH110" s="43">
        <f>'$$xSchpostCouncil 22'!BH110/'$$xSchpostCouncil 22'!BH$123</f>
        <v>0</v>
      </c>
      <c r="BI110" s="6"/>
      <c r="BJ110" s="43">
        <f>'$$xSchpostCouncil 22'!BJ110/'$$xSchpostCouncil 22'!BJ$123</f>
        <v>0</v>
      </c>
      <c r="BK110" s="6"/>
      <c r="BL110" s="43">
        <f>'$$xSchpostCouncil 22'!BL110/'$$xSchpostCouncil 22'!BL$123</f>
        <v>0</v>
      </c>
      <c r="BM110" s="6"/>
      <c r="BN110" s="43">
        <f>'$$xSchpostCouncil 22'!BN110/'$$xSchpostCouncil 22'!BN$123</f>
        <v>0</v>
      </c>
      <c r="BO110" s="43">
        <f>'$$xSchpostCouncil 22'!BO110/'$$xSchpostCouncil 22'!BO$123</f>
        <v>0</v>
      </c>
      <c r="BP110" s="6"/>
      <c r="BQ110" s="6"/>
      <c r="BR110" s="6"/>
      <c r="BS110" s="6"/>
      <c r="BT110" s="6"/>
      <c r="BU110" s="43">
        <f>'$$xSchpostCouncil 22'!BU110/'$$xSchpostCouncil 22'!BU$123</f>
        <v>0</v>
      </c>
      <c r="BV110" s="43">
        <f>'$$xSchpostCouncil 22'!BV110/'$$xSchpostCouncil 22'!BV$123</f>
        <v>0</v>
      </c>
      <c r="BW110" s="43">
        <f>'$$xSchpostCouncil 22'!BW110/'$$xSchpostCouncil 22'!BW$123</f>
        <v>0</v>
      </c>
      <c r="BX110" s="6">
        <v>772114.1</v>
      </c>
      <c r="BY110" s="6"/>
      <c r="BZ110" s="6"/>
      <c r="CA110" s="6"/>
      <c r="CB110" s="6"/>
      <c r="CC110" s="6">
        <v>260048</v>
      </c>
      <c r="CD110" s="6"/>
      <c r="CE110" s="6"/>
      <c r="CF110" s="6">
        <v>0</v>
      </c>
      <c r="CI110" s="43">
        <f>'$$xSchpostCouncil 22'!CI110/'$$xSchpostCouncil 22'!CI$123</f>
        <v>1</v>
      </c>
      <c r="CJ110" s="43">
        <f>'$$xSchpostCouncil 22'!CJ110/'$$xSchpostCouncil 22'!CJ$123</f>
        <v>1.2000012777185058</v>
      </c>
      <c r="CK110" s="43">
        <f>'$$xSchpostCouncil 22'!CK110/'$$xSchpostCouncil 22'!CK$123</f>
        <v>1</v>
      </c>
      <c r="CL110" s="43">
        <f>'$$xSchpostCouncil 22'!CL110/'$$xSchpostCouncil 22'!CL$123</f>
        <v>1.2000039495250696</v>
      </c>
      <c r="CM110" s="43">
        <f>'$$xSchpostCouncil 22'!CM110/'$$xSchpostCouncil 22'!CM$123</f>
        <v>0</v>
      </c>
      <c r="CN110" s="43">
        <f>'$$xSchpostCouncil 22'!CN110/'$$xSchpostCouncil 22'!CN$123</f>
        <v>0</v>
      </c>
      <c r="CO110" s="43">
        <f>'$$xSchpostCouncil 22'!CO110/'$$xSchpostCouncil 22'!CO$123</f>
        <v>4.500004441720189</v>
      </c>
      <c r="CP110" s="43">
        <f>'$$xSchpostCouncil 22'!CP110/'$$xSchpostCouncil 22'!CP$123</f>
        <v>4</v>
      </c>
      <c r="CQ110" s="43">
        <f>'$$xSchpostCouncil 22'!CQ110/'$$xSchpostCouncil 22'!CQ$123</f>
        <v>20</v>
      </c>
      <c r="CR110" s="43">
        <f>'$$xSchpostCouncil 22'!CR110/'$$xSchpostCouncil 22'!CR$123</f>
        <v>0</v>
      </c>
      <c r="CS110" s="6"/>
      <c r="CT110" s="6"/>
      <c r="CU110" s="6"/>
      <c r="CV110" s="43">
        <f>'$$xSchpostCouncil 22'!CV110/'$$xSchpostCouncil 22'!CV$123</f>
        <v>0</v>
      </c>
      <c r="CW110" s="43">
        <f>'$$xSchpostCouncil 22'!CW110/'$$xSchpostCouncil 22'!CW$123</f>
        <v>0</v>
      </c>
      <c r="CX110" s="6">
        <v>0</v>
      </c>
      <c r="CY110" s="6"/>
      <c r="CZ110" s="6"/>
      <c r="DB110" s="43">
        <f>'$$xSchpostCouncil 22'!DB110/'$$xSchpostCouncil 22'!DB$123</f>
        <v>3</v>
      </c>
      <c r="DC110" s="43">
        <f>'$$xSchpostCouncil 22'!DC110/'$$xSchpostCouncil 22'!DC$123</f>
        <v>0</v>
      </c>
      <c r="DF110" s="43">
        <f>'$$xSchpostCouncil 22'!DF110/'$$xSchpostCouncil 22'!DF$123</f>
        <v>0</v>
      </c>
      <c r="DG110" s="43">
        <f>'$$xSchpostCouncil 22'!DG110/'$$xSchpostCouncil 22'!DG$123</f>
        <v>0</v>
      </c>
      <c r="DH110" s="43">
        <f>'$$xSchpostCouncil 22'!DH110/'$$xSchpostCouncil 22'!DH$123</f>
        <v>0</v>
      </c>
      <c r="DI110" s="43">
        <f>'$$xSchpostCouncil 22'!DI110/'$$xSchpostCouncil 22'!DI$123</f>
        <v>0</v>
      </c>
      <c r="DJ110" s="43">
        <f>'$$xSchpostCouncil 22'!DJ110/'$$xSchpostCouncil 22'!DJ$123</f>
        <v>0</v>
      </c>
      <c r="DK110" s="43">
        <f>'$$xSchpostCouncil 22'!DK110/'$$xSchpostCouncil 22'!DK$123</f>
        <v>0</v>
      </c>
      <c r="DL110" s="6">
        <v>6105</v>
      </c>
      <c r="DM110" s="6"/>
      <c r="DN110" s="43">
        <f>'$$xSchpostCouncil 22'!DN110/'$$xSchpostCouncil 22'!DN$123</f>
        <v>0</v>
      </c>
      <c r="DO110" s="6"/>
      <c r="DP110" s="6">
        <v>26675</v>
      </c>
      <c r="DU110" s="6">
        <f>VLOOKUP($A110,[3]Totals!$B$2:$K$119,10,FALSE)</f>
        <v>279778.52</v>
      </c>
      <c r="DV110" s="6">
        <f>VLOOKUP($A110,[3]Totals!$B$2:$K$119,9,FALSE)</f>
        <v>426475</v>
      </c>
    </row>
    <row r="111" spans="1:126" x14ac:dyDescent="0.2">
      <c r="A111" s="3">
        <v>328</v>
      </c>
      <c r="B111" s="2" t="s">
        <v>14</v>
      </c>
      <c r="C111" t="s">
        <v>7</v>
      </c>
      <c r="D111">
        <v>1</v>
      </c>
      <c r="E111" s="1">
        <v>549</v>
      </c>
      <c r="F111" s="4">
        <v>0.53600000000000003</v>
      </c>
      <c r="G111">
        <v>294</v>
      </c>
      <c r="H111" s="43">
        <f>'$$xSchpostCouncil 22'!H111/'$$xSchpostCouncil 22'!H$123</f>
        <v>1</v>
      </c>
      <c r="I111" s="43">
        <f>'$$xSchpostCouncil 22'!I111/'$$xSchpostCouncil 22'!I$123</f>
        <v>0</v>
      </c>
      <c r="J111" s="43">
        <f>'$$xSchpostCouncil 22'!J111/'$$xSchpostCouncil 22'!J$123</f>
        <v>0</v>
      </c>
      <c r="K111" s="43">
        <f>'$$xSchpostCouncil 22'!K111/'$$xSchpostCouncil 22'!K$123</f>
        <v>1</v>
      </c>
      <c r="L111" s="6">
        <v>5362</v>
      </c>
      <c r="M111" s="43">
        <f>'$$xSchpostCouncil 22'!M111/'$$xSchpostCouncil 22'!M$123</f>
        <v>1</v>
      </c>
      <c r="N111" s="43">
        <f>'$$xSchpostCouncil 22'!N111/'$$xSchpostCouncil 22'!N$123</f>
        <v>1</v>
      </c>
      <c r="O111" s="43">
        <f>'$$xSchpostCouncil 22'!O111/'$$xSchpostCouncil 22'!O$123</f>
        <v>3</v>
      </c>
      <c r="P111" s="43">
        <f>'$$xSchpostCouncil 22'!P111/'$$xSchpostCouncil 22'!P$123</f>
        <v>1</v>
      </c>
      <c r="Q111" s="43">
        <f>'$$xSchpostCouncil 22'!Q111/'$$xSchpostCouncil 22'!Q$123</f>
        <v>0</v>
      </c>
      <c r="R111" s="43">
        <f>'$$xSchpostCouncil 22'!R111/'$$xSchpostCouncil 22'!R$123</f>
        <v>4</v>
      </c>
      <c r="S111" s="43">
        <f>'$$xSchpostCouncil 22'!S111/'$$xSchpostCouncil 22'!S$123</f>
        <v>0</v>
      </c>
      <c r="T111" s="43">
        <f>'$$xSchpostCouncil 22'!T111/'$$xSchpostCouncil 22'!T$123</f>
        <v>4</v>
      </c>
      <c r="U111" s="6"/>
      <c r="V111" s="6"/>
      <c r="W111" s="6"/>
      <c r="X111" s="6"/>
      <c r="Y111" s="43">
        <f>'$$xSchpostCouncil 22'!Y111/'$$xSchpostCouncil 22'!Y$123</f>
        <v>0</v>
      </c>
      <c r="Z111" s="43">
        <f>'$$xSchpostCouncil 22'!Z111/'$$xSchpostCouncil 22'!Z$123</f>
        <v>0</v>
      </c>
      <c r="AA111" s="43">
        <f>'$$xSchpostCouncil 22'!AA111/'$$xSchpostCouncil 22'!AA$123</f>
        <v>0</v>
      </c>
      <c r="AB111" s="43">
        <f>'$$xSchpostCouncil 22'!AB111/'$$xSchpostCouncil 22'!AB$123</f>
        <v>0</v>
      </c>
      <c r="AC111" s="6"/>
      <c r="AD111" s="6">
        <v>215657</v>
      </c>
      <c r="AE111" s="43">
        <f>'$$xSchpostCouncil 22'!AE111/'$$xSchpostCouncil 22'!AE$123</f>
        <v>1</v>
      </c>
      <c r="AF111" s="43">
        <f>'$$xSchpostCouncil 22'!AF111/'$$xSchpostCouncil 22'!AF$123</f>
        <v>2</v>
      </c>
      <c r="AG111" s="43">
        <f>'$$xSchpostCouncil 22'!AG111/'$$xSchpostCouncil 22'!AG$123</f>
        <v>9</v>
      </c>
      <c r="AH111" s="43">
        <f>'$$xSchpostCouncil 22'!AH111/'$$xSchpostCouncil 22'!AH$123</f>
        <v>0</v>
      </c>
      <c r="AI111" s="43">
        <f>'$$xSchpostCouncil 22'!AI111/'$$xSchpostCouncil 22'!AI$123</f>
        <v>4</v>
      </c>
      <c r="AJ111" s="43"/>
      <c r="AK111" s="43">
        <f>'$$xSchpostCouncil 22'!AK111/'$$xSchpostCouncil 22'!AK$123</f>
        <v>0</v>
      </c>
      <c r="AL111" s="43">
        <f>'$$xSchpostCouncil 22'!AL111/'$$xSchpostCouncil 22'!AL$123</f>
        <v>0</v>
      </c>
      <c r="AM111" s="6"/>
      <c r="AN111" s="6"/>
      <c r="AO111" s="43">
        <f>'$$xSchpostCouncil 22'!AO111/'$$xSchpostCouncil 22'!AO$123</f>
        <v>15</v>
      </c>
      <c r="AP111" s="43">
        <f>'$$xSchpostCouncil 22'!AP111/'$$xSchpostCouncil 22'!AP$123</f>
        <v>0</v>
      </c>
      <c r="AQ111" s="43">
        <f>'$$xSchpostCouncil 22'!AQ111/'$$xSchpostCouncil 22'!AQ$123</f>
        <v>1</v>
      </c>
      <c r="AR111" s="6"/>
      <c r="AS111" s="6"/>
      <c r="AT111" s="6"/>
      <c r="AU111" s="6"/>
      <c r="AV111" s="6"/>
      <c r="AW111" s="6">
        <v>0</v>
      </c>
      <c r="AX111" s="6"/>
      <c r="AY111" s="6"/>
      <c r="AZ111" s="6">
        <v>248934.06</v>
      </c>
      <c r="BA111" s="6"/>
      <c r="BB111" s="6"/>
      <c r="BC111" s="43">
        <f>'$$xSchpostCouncil 22'!BC111/'$$xSchpostCouncil 22'!BC$123</f>
        <v>0</v>
      </c>
      <c r="BD111" s="43">
        <f>'$$xSchpostCouncil 22'!BD111/'$$xSchpostCouncil 22'!BD$123</f>
        <v>0</v>
      </c>
      <c r="BE111" s="6"/>
      <c r="BF111" s="6"/>
      <c r="BG111" s="6"/>
      <c r="BH111" s="43">
        <f>'$$xSchpostCouncil 22'!BH111/'$$xSchpostCouncil 22'!BH$123</f>
        <v>0</v>
      </c>
      <c r="BI111" s="6"/>
      <c r="BJ111" s="43">
        <f>'$$xSchpostCouncil 22'!BJ111/'$$xSchpostCouncil 22'!BJ$123</f>
        <v>0</v>
      </c>
      <c r="BK111" s="6"/>
      <c r="BL111" s="43">
        <f>'$$xSchpostCouncil 22'!BL111/'$$xSchpostCouncil 22'!BL$123</f>
        <v>0</v>
      </c>
      <c r="BM111" s="6"/>
      <c r="BN111" s="43">
        <f>'$$xSchpostCouncil 22'!BN111/'$$xSchpostCouncil 22'!BN$123</f>
        <v>0</v>
      </c>
      <c r="BO111" s="43">
        <f>'$$xSchpostCouncil 22'!BO111/'$$xSchpostCouncil 22'!BO$123</f>
        <v>0</v>
      </c>
      <c r="BP111" s="6"/>
      <c r="BQ111" s="6"/>
      <c r="BR111" s="6"/>
      <c r="BS111" s="6"/>
      <c r="BT111" s="6"/>
      <c r="BU111" s="43">
        <f>'$$xSchpostCouncil 22'!BU111/'$$xSchpostCouncil 22'!BU$123</f>
        <v>0</v>
      </c>
      <c r="BV111" s="43">
        <f>'$$xSchpostCouncil 22'!BV111/'$$xSchpostCouncil 22'!BV$123</f>
        <v>0</v>
      </c>
      <c r="BW111" s="43">
        <f>'$$xSchpostCouncil 22'!BW111/'$$xSchpostCouncil 22'!BW$123</f>
        <v>0</v>
      </c>
      <c r="BX111" s="6">
        <v>744266.66</v>
      </c>
      <c r="BY111" s="6"/>
      <c r="BZ111" s="6"/>
      <c r="CA111" s="6"/>
      <c r="CB111" s="6"/>
      <c r="CC111" s="6"/>
      <c r="CD111" s="6"/>
      <c r="CE111" s="6">
        <v>112569</v>
      </c>
      <c r="CF111" s="6">
        <v>337707</v>
      </c>
      <c r="CI111" s="43">
        <f>'$$xSchpostCouncil 22'!CI111/'$$xSchpostCouncil 22'!CI$123</f>
        <v>1</v>
      </c>
      <c r="CJ111" s="43">
        <f>'$$xSchpostCouncil 22'!CJ111/'$$xSchpostCouncil 22'!CJ$123</f>
        <v>1.4000025554370117</v>
      </c>
      <c r="CK111" s="43">
        <f>'$$xSchpostCouncil 22'!CK111/'$$xSchpostCouncil 22'!CK$123</f>
        <v>1</v>
      </c>
      <c r="CL111" s="43">
        <f>'$$xSchpostCouncil 22'!CL111/'$$xSchpostCouncil 22'!CL$123</f>
        <v>1.4000078990501392</v>
      </c>
      <c r="CM111" s="43">
        <f>'$$xSchpostCouncil 22'!CM111/'$$xSchpostCouncil 22'!CM$123</f>
        <v>0</v>
      </c>
      <c r="CN111" s="43">
        <f>'$$xSchpostCouncil 22'!CN111/'$$xSchpostCouncil 22'!CN$123</f>
        <v>0</v>
      </c>
      <c r="CO111" s="43">
        <f>'$$xSchpostCouncil 22'!CO111/'$$xSchpostCouncil 22'!CO$123</f>
        <v>4.500004441720189</v>
      </c>
      <c r="CP111" s="43">
        <f>'$$xSchpostCouncil 22'!CP111/'$$xSchpostCouncil 22'!CP$123</f>
        <v>4</v>
      </c>
      <c r="CQ111" s="43">
        <f>'$$xSchpostCouncil 22'!CQ111/'$$xSchpostCouncil 22'!CQ$123</f>
        <v>23</v>
      </c>
      <c r="CR111" s="43">
        <f>'$$xSchpostCouncil 22'!CR111/'$$xSchpostCouncil 22'!CR$123</f>
        <v>0</v>
      </c>
      <c r="CS111" s="6"/>
      <c r="CT111" s="6"/>
      <c r="CU111" s="6"/>
      <c r="CV111" s="43">
        <f>'$$xSchpostCouncil 22'!CV111/'$$xSchpostCouncil 22'!CV$123</f>
        <v>0</v>
      </c>
      <c r="CW111" s="43">
        <f>'$$xSchpostCouncil 22'!CW111/'$$xSchpostCouncil 22'!CW$123</f>
        <v>0</v>
      </c>
      <c r="CX111" s="6">
        <v>0</v>
      </c>
      <c r="CY111" s="6"/>
      <c r="CZ111" s="6"/>
      <c r="DB111" s="43">
        <f>'$$xSchpostCouncil 22'!DB111/'$$xSchpostCouncil 22'!DB$123</f>
        <v>3</v>
      </c>
      <c r="DC111" s="43">
        <f>'$$xSchpostCouncil 22'!DC111/'$$xSchpostCouncil 22'!DC$123</f>
        <v>0</v>
      </c>
      <c r="DF111" s="43">
        <f>'$$xSchpostCouncil 22'!DF111/'$$xSchpostCouncil 22'!DF$123</f>
        <v>0</v>
      </c>
      <c r="DG111" s="43">
        <f>'$$xSchpostCouncil 22'!DG111/'$$xSchpostCouncil 22'!DG$123</f>
        <v>0</v>
      </c>
      <c r="DH111" s="43">
        <f>'$$xSchpostCouncil 22'!DH111/'$$xSchpostCouncil 22'!DH$123</f>
        <v>0</v>
      </c>
      <c r="DI111" s="43">
        <f>'$$xSchpostCouncil 22'!DI111/'$$xSchpostCouncil 22'!DI$123</f>
        <v>0</v>
      </c>
      <c r="DJ111" s="43">
        <f>'$$xSchpostCouncil 22'!DJ111/'$$xSchpostCouncil 22'!DJ$123</f>
        <v>0</v>
      </c>
      <c r="DK111" s="43">
        <f>'$$xSchpostCouncil 22'!DK111/'$$xSchpostCouncil 22'!DK$123</f>
        <v>0</v>
      </c>
      <c r="DL111" s="6">
        <v>5875</v>
      </c>
      <c r="DM111" s="6"/>
      <c r="DN111" s="43">
        <f>'$$xSchpostCouncil 22'!DN111/'$$xSchpostCouncil 22'!DN$123</f>
        <v>0</v>
      </c>
      <c r="DO111" s="6"/>
      <c r="DP111" s="6">
        <v>33150</v>
      </c>
      <c r="DU111" s="6">
        <f>VLOOKUP($A111,[3]Totals!$B$2:$K$119,10,FALSE)</f>
        <v>147699.26999999999</v>
      </c>
      <c r="DV111" s="6">
        <f>VLOOKUP($A111,[3]Totals!$B$2:$K$119,9,FALSE)</f>
        <v>345319</v>
      </c>
    </row>
    <row r="112" spans="1:126" x14ac:dyDescent="0.2">
      <c r="A112" s="3">
        <v>329</v>
      </c>
      <c r="B112" s="2" t="s">
        <v>13</v>
      </c>
      <c r="C112" t="s">
        <v>7</v>
      </c>
      <c r="D112">
        <v>8</v>
      </c>
      <c r="E112" s="1">
        <v>489</v>
      </c>
      <c r="F112" s="4">
        <v>0.78900000000000003</v>
      </c>
      <c r="G112">
        <v>386</v>
      </c>
      <c r="H112" s="43">
        <f>'$$xSchpostCouncil 22'!H112/'$$xSchpostCouncil 22'!H$123</f>
        <v>1</v>
      </c>
      <c r="I112" s="43">
        <f>'$$xSchpostCouncil 22'!I112/'$$xSchpostCouncil 22'!I$123</f>
        <v>0</v>
      </c>
      <c r="J112" s="43">
        <f>'$$xSchpostCouncil 22'!J112/'$$xSchpostCouncil 22'!J$123</f>
        <v>0</v>
      </c>
      <c r="K112" s="43">
        <f>'$$xSchpostCouncil 22'!K112/'$$xSchpostCouncil 22'!K$123</f>
        <v>1</v>
      </c>
      <c r="L112" s="6">
        <v>6815</v>
      </c>
      <c r="M112" s="43">
        <f>'$$xSchpostCouncil 22'!M112/'$$xSchpostCouncil 22'!M$123</f>
        <v>1</v>
      </c>
      <c r="N112" s="43">
        <f>'$$xSchpostCouncil 22'!N112/'$$xSchpostCouncil 22'!N$123</f>
        <v>1</v>
      </c>
      <c r="O112" s="43">
        <f>'$$xSchpostCouncil 22'!O112/'$$xSchpostCouncil 22'!O$123</f>
        <v>2</v>
      </c>
      <c r="P112" s="43">
        <f>'$$xSchpostCouncil 22'!P112/'$$xSchpostCouncil 22'!P$123</f>
        <v>1</v>
      </c>
      <c r="Q112" s="43">
        <f>'$$xSchpostCouncil 22'!Q112/'$$xSchpostCouncil 22'!Q$123</f>
        <v>2</v>
      </c>
      <c r="R112" s="43">
        <f>'$$xSchpostCouncil 22'!R112/'$$xSchpostCouncil 22'!R$123</f>
        <v>1</v>
      </c>
      <c r="S112" s="43">
        <f>'$$xSchpostCouncil 22'!S112/'$$xSchpostCouncil 22'!S$123</f>
        <v>2</v>
      </c>
      <c r="T112" s="43">
        <f>'$$xSchpostCouncil 22'!T112/'$$xSchpostCouncil 22'!T$123</f>
        <v>5</v>
      </c>
      <c r="U112" s="6"/>
      <c r="V112" s="6"/>
      <c r="W112" s="6"/>
      <c r="X112" s="6"/>
      <c r="Y112" s="43">
        <f>'$$xSchpostCouncil 22'!Y112/'$$xSchpostCouncil 22'!Y$123</f>
        <v>0</v>
      </c>
      <c r="Z112" s="43">
        <f>'$$xSchpostCouncil 22'!Z112/'$$xSchpostCouncil 22'!Z$123</f>
        <v>0</v>
      </c>
      <c r="AA112" s="43">
        <f>'$$xSchpostCouncil 22'!AA112/'$$xSchpostCouncil 22'!AA$123</f>
        <v>0</v>
      </c>
      <c r="AB112" s="43">
        <f>'$$xSchpostCouncil 22'!AB112/'$$xSchpostCouncil 22'!AB$123</f>
        <v>0</v>
      </c>
      <c r="AC112" s="6"/>
      <c r="AD112" s="6">
        <v>166353</v>
      </c>
      <c r="AE112" s="43">
        <f>'$$xSchpostCouncil 22'!AE112/'$$xSchpostCouncil 22'!AE$123</f>
        <v>1</v>
      </c>
      <c r="AF112" s="43">
        <f>'$$xSchpostCouncil 22'!AF112/'$$xSchpostCouncil 22'!AF$123</f>
        <v>2</v>
      </c>
      <c r="AG112" s="43">
        <f>'$$xSchpostCouncil 22'!AG112/'$$xSchpostCouncil 22'!AG$123</f>
        <v>8</v>
      </c>
      <c r="AH112" s="43">
        <f>'$$xSchpostCouncil 22'!AH112/'$$xSchpostCouncil 22'!AH$123</f>
        <v>0</v>
      </c>
      <c r="AI112" s="43">
        <f>'$$xSchpostCouncil 22'!AI112/'$$xSchpostCouncil 22'!AI$123</f>
        <v>4</v>
      </c>
      <c r="AJ112" s="43"/>
      <c r="AK112" s="43">
        <f>'$$xSchpostCouncil 22'!AK112/'$$xSchpostCouncil 22'!AK$123</f>
        <v>0</v>
      </c>
      <c r="AL112" s="43">
        <f>'$$xSchpostCouncil 22'!AL112/'$$xSchpostCouncil 22'!AL$123</f>
        <v>0</v>
      </c>
      <c r="AM112" s="6"/>
      <c r="AN112" s="6"/>
      <c r="AO112" s="43">
        <f>'$$xSchpostCouncil 22'!AO112/'$$xSchpostCouncil 22'!AO$123</f>
        <v>0</v>
      </c>
      <c r="AP112" s="43">
        <f>'$$xSchpostCouncil 22'!AP112/'$$xSchpostCouncil 22'!AP$123</f>
        <v>8.9998134477520447E-2</v>
      </c>
      <c r="AQ112" s="43">
        <f>'$$xSchpostCouncil 22'!AQ112/'$$xSchpostCouncil 22'!AQ$123</f>
        <v>0</v>
      </c>
      <c r="AR112" s="6"/>
      <c r="AS112" s="6">
        <f>40800-13600</f>
        <v>27200</v>
      </c>
      <c r="AT112" s="6">
        <f>40800-37400</f>
        <v>3400</v>
      </c>
      <c r="AU112" s="6">
        <v>10200</v>
      </c>
      <c r="AV112" s="6"/>
      <c r="AW112" s="6">
        <v>51000</v>
      </c>
      <c r="AX112" s="6"/>
      <c r="AY112" s="6"/>
      <c r="AZ112" s="6">
        <v>221730.03</v>
      </c>
      <c r="BA112" s="6"/>
      <c r="BB112" s="6"/>
      <c r="BC112" s="43">
        <f>'$$xSchpostCouncil 22'!BC112/'$$xSchpostCouncil 22'!BC$123</f>
        <v>0</v>
      </c>
      <c r="BD112" s="43">
        <f>'$$xSchpostCouncil 22'!BD112/'$$xSchpostCouncil 22'!BD$123</f>
        <v>0</v>
      </c>
      <c r="BE112" s="6"/>
      <c r="BF112" s="6"/>
      <c r="BG112" s="6"/>
      <c r="BH112" s="43">
        <f>'$$xSchpostCouncil 22'!BH112/'$$xSchpostCouncil 22'!BH$123</f>
        <v>1</v>
      </c>
      <c r="BI112" s="6">
        <v>21955</v>
      </c>
      <c r="BJ112" s="43">
        <f>'$$xSchpostCouncil 22'!BJ112/'$$xSchpostCouncil 22'!BJ$123</f>
        <v>0</v>
      </c>
      <c r="BK112" s="6"/>
      <c r="BL112" s="43">
        <f>'$$xSchpostCouncil 22'!BL112/'$$xSchpostCouncil 22'!BL$123</f>
        <v>0</v>
      </c>
      <c r="BM112" s="6"/>
      <c r="BN112" s="43">
        <f>'$$xSchpostCouncil 22'!BN112/'$$xSchpostCouncil 22'!BN$123</f>
        <v>0</v>
      </c>
      <c r="BO112" s="43">
        <f>'$$xSchpostCouncil 22'!BO112/'$$xSchpostCouncil 22'!BO$123</f>
        <v>0</v>
      </c>
      <c r="BP112" s="6"/>
      <c r="BQ112" s="6"/>
      <c r="BR112" s="6"/>
      <c r="BS112" s="6"/>
      <c r="BT112" s="6"/>
      <c r="BU112" s="43">
        <f>'$$xSchpostCouncil 22'!BU112/'$$xSchpostCouncil 22'!BU$123</f>
        <v>0</v>
      </c>
      <c r="BV112" s="43">
        <f>'$$xSchpostCouncil 22'!BV112/'$$xSchpostCouncil 22'!BV$123</f>
        <v>0</v>
      </c>
      <c r="BW112" s="43">
        <f>'$$xSchpostCouncil 22'!BW112/'$$xSchpostCouncil 22'!BW$123</f>
        <v>0</v>
      </c>
      <c r="BX112" s="6">
        <v>977165.85499999998</v>
      </c>
      <c r="BY112" s="6"/>
      <c r="BZ112" s="6"/>
      <c r="CA112" s="6"/>
      <c r="CB112" s="6"/>
      <c r="CC112" s="6"/>
      <c r="CD112" s="6"/>
      <c r="CE112" s="6"/>
      <c r="CF112" s="6">
        <v>112569</v>
      </c>
      <c r="CI112" s="43">
        <f>'$$xSchpostCouncil 22'!CI112/'$$xSchpostCouncil 22'!CI$123</f>
        <v>1</v>
      </c>
      <c r="CJ112" s="43">
        <f>'$$xSchpostCouncil 22'!CJ112/'$$xSchpostCouncil 22'!CJ$123</f>
        <v>1.2000012777185058</v>
      </c>
      <c r="CK112" s="43">
        <f>'$$xSchpostCouncil 22'!CK112/'$$xSchpostCouncil 22'!CK$123</f>
        <v>1</v>
      </c>
      <c r="CL112" s="43">
        <f>'$$xSchpostCouncil 22'!CL112/'$$xSchpostCouncil 22'!CL$123</f>
        <v>1.2000039495250696</v>
      </c>
      <c r="CM112" s="43">
        <f>'$$xSchpostCouncil 22'!CM112/'$$xSchpostCouncil 22'!CM$123</f>
        <v>0</v>
      </c>
      <c r="CN112" s="43">
        <f>'$$xSchpostCouncil 22'!CN112/'$$xSchpostCouncil 22'!CN$123</f>
        <v>0</v>
      </c>
      <c r="CO112" s="43">
        <f>'$$xSchpostCouncil 22'!CO112/'$$xSchpostCouncil 22'!CO$123</f>
        <v>4.500004441720189</v>
      </c>
      <c r="CP112" s="43">
        <f>'$$xSchpostCouncil 22'!CP112/'$$xSchpostCouncil 22'!CP$123</f>
        <v>3</v>
      </c>
      <c r="CQ112" s="43">
        <f>'$$xSchpostCouncil 22'!CQ112/'$$xSchpostCouncil 22'!CQ$123</f>
        <v>18</v>
      </c>
      <c r="CR112" s="43">
        <f>'$$xSchpostCouncil 22'!CR112/'$$xSchpostCouncil 22'!CR$123</f>
        <v>0</v>
      </c>
      <c r="CS112" s="6"/>
      <c r="CT112" s="6"/>
      <c r="CU112" s="6"/>
      <c r="CV112" s="43">
        <f>'$$xSchpostCouncil 22'!CV112/'$$xSchpostCouncil 22'!CV$123</f>
        <v>0</v>
      </c>
      <c r="CW112" s="43">
        <f>'$$xSchpostCouncil 22'!CW112/'$$xSchpostCouncil 22'!CW$123</f>
        <v>0</v>
      </c>
      <c r="CX112" s="6">
        <v>0</v>
      </c>
      <c r="CY112" s="6"/>
      <c r="CZ112" s="6"/>
      <c r="DB112" s="43">
        <f>'$$xSchpostCouncil 22'!DB112/'$$xSchpostCouncil 22'!DB$123</f>
        <v>0</v>
      </c>
      <c r="DC112" s="43">
        <f>'$$xSchpostCouncil 22'!DC112/'$$xSchpostCouncil 22'!DC$123</f>
        <v>0</v>
      </c>
      <c r="DF112" s="43">
        <f>'$$xSchpostCouncil 22'!DF112/'$$xSchpostCouncil 22'!DF$123</f>
        <v>0</v>
      </c>
      <c r="DG112" s="43">
        <f>'$$xSchpostCouncil 22'!DG112/'$$xSchpostCouncil 22'!DG$123</f>
        <v>0.49999555827981063</v>
      </c>
      <c r="DH112" s="43">
        <f>'$$xSchpostCouncil 22'!DH112/'$$xSchpostCouncil 22'!DH$123</f>
        <v>0</v>
      </c>
      <c r="DI112" s="43">
        <f>'$$xSchpostCouncil 22'!DI112/'$$xSchpostCouncil 22'!DI$123</f>
        <v>0</v>
      </c>
      <c r="DJ112" s="43">
        <f>'$$xSchpostCouncil 22'!DJ112/'$$xSchpostCouncil 22'!DJ$123</f>
        <v>0</v>
      </c>
      <c r="DK112" s="43">
        <f>'$$xSchpostCouncil 22'!DK112/'$$xSchpostCouncil 22'!DK$123</f>
        <v>0</v>
      </c>
      <c r="DL112" s="6">
        <v>15481</v>
      </c>
      <c r="DM112" s="6"/>
      <c r="DN112" s="43">
        <f>'$$xSchpostCouncil 22'!DN112/'$$xSchpostCouncil 22'!DN$123</f>
        <v>0</v>
      </c>
      <c r="DO112" s="6"/>
      <c r="DP112" s="6">
        <v>47625</v>
      </c>
      <c r="DU112" s="6">
        <f>VLOOKUP($A112,[3]Totals!$B$2:$K$119,10,FALSE)</f>
        <v>312119.38</v>
      </c>
      <c r="DV112" s="6">
        <f>VLOOKUP($A112,[3]Totals!$B$2:$K$119,9,FALSE)</f>
        <v>412683</v>
      </c>
    </row>
    <row r="113" spans="1:126" x14ac:dyDescent="0.2">
      <c r="A113" s="3">
        <v>330</v>
      </c>
      <c r="B113" s="2" t="s">
        <v>12</v>
      </c>
      <c r="C113" t="s">
        <v>7</v>
      </c>
      <c r="D113">
        <v>6</v>
      </c>
      <c r="E113" s="1">
        <v>547</v>
      </c>
      <c r="F113" s="4">
        <v>0.38400000000000001</v>
      </c>
      <c r="G113">
        <v>210</v>
      </c>
      <c r="H113" s="43">
        <f>'$$xSchpostCouncil 22'!H113/'$$xSchpostCouncil 22'!H$123</f>
        <v>1</v>
      </c>
      <c r="I113" s="43">
        <f>'$$xSchpostCouncil 22'!I113/'$$xSchpostCouncil 22'!I$123</f>
        <v>0</v>
      </c>
      <c r="J113" s="43">
        <f>'$$xSchpostCouncil 22'!J113/'$$xSchpostCouncil 22'!J$123</f>
        <v>0</v>
      </c>
      <c r="K113" s="43">
        <f>'$$xSchpostCouncil 22'!K113/'$$xSchpostCouncil 22'!K$123</f>
        <v>1</v>
      </c>
      <c r="L113" s="6">
        <v>5831</v>
      </c>
      <c r="M113" s="43">
        <f>'$$xSchpostCouncil 22'!M113/'$$xSchpostCouncil 22'!M$123</f>
        <v>1</v>
      </c>
      <c r="N113" s="43">
        <f>'$$xSchpostCouncil 22'!N113/'$$xSchpostCouncil 22'!N$123</f>
        <v>1</v>
      </c>
      <c r="O113" s="43">
        <f>'$$xSchpostCouncil 22'!O113/'$$xSchpostCouncil 22'!O$123</f>
        <v>3</v>
      </c>
      <c r="P113" s="43">
        <f>'$$xSchpostCouncil 22'!P113/'$$xSchpostCouncil 22'!P$123</f>
        <v>1</v>
      </c>
      <c r="Q113" s="43">
        <f>'$$xSchpostCouncil 22'!Q113/'$$xSchpostCouncil 22'!Q$123</f>
        <v>4</v>
      </c>
      <c r="R113" s="43">
        <f>'$$xSchpostCouncil 22'!R113/'$$xSchpostCouncil 22'!R$123</f>
        <v>0</v>
      </c>
      <c r="S113" s="43">
        <f>'$$xSchpostCouncil 22'!S113/'$$xSchpostCouncil 22'!S$123</f>
        <v>4</v>
      </c>
      <c r="T113" s="43">
        <f>'$$xSchpostCouncil 22'!T113/'$$xSchpostCouncil 22'!T$123</f>
        <v>8</v>
      </c>
      <c r="U113" s="6"/>
      <c r="V113" s="6"/>
      <c r="W113" s="6"/>
      <c r="X113" s="6"/>
      <c r="Y113" s="43">
        <f>'$$xSchpostCouncil 22'!Y113/'$$xSchpostCouncil 22'!Y$123</f>
        <v>0</v>
      </c>
      <c r="Z113" s="43">
        <f>'$$xSchpostCouncil 22'!Z113/'$$xSchpostCouncil 22'!Z$123</f>
        <v>0</v>
      </c>
      <c r="AA113" s="43">
        <f>'$$xSchpostCouncil 22'!AA113/'$$xSchpostCouncil 22'!AA$123</f>
        <v>0</v>
      </c>
      <c r="AB113" s="43">
        <f>'$$xSchpostCouncil 22'!AB113/'$$xSchpostCouncil 22'!AB$123</f>
        <v>0</v>
      </c>
      <c r="AC113" s="6"/>
      <c r="AD113" s="6">
        <v>193621</v>
      </c>
      <c r="AE113" s="43">
        <f>'$$xSchpostCouncil 22'!AE113/'$$xSchpostCouncil 22'!AE$123</f>
        <v>1</v>
      </c>
      <c r="AF113" s="43">
        <f>'$$xSchpostCouncil 22'!AF113/'$$xSchpostCouncil 22'!AF$123</f>
        <v>2</v>
      </c>
      <c r="AG113" s="43">
        <f>'$$xSchpostCouncil 22'!AG113/'$$xSchpostCouncil 22'!AG$123</f>
        <v>9</v>
      </c>
      <c r="AH113" s="43">
        <f>'$$xSchpostCouncil 22'!AH113/'$$xSchpostCouncil 22'!AH$123</f>
        <v>0</v>
      </c>
      <c r="AI113" s="43">
        <f>'$$xSchpostCouncil 22'!AI113/'$$xSchpostCouncil 22'!AI$123</f>
        <v>7</v>
      </c>
      <c r="AJ113" s="43"/>
      <c r="AK113" s="43">
        <f>'$$xSchpostCouncil 22'!AK113/'$$xSchpostCouncil 22'!AK$123</f>
        <v>0</v>
      </c>
      <c r="AL113" s="43">
        <f>'$$xSchpostCouncil 22'!AL113/'$$xSchpostCouncil 22'!AL$123</f>
        <v>0</v>
      </c>
      <c r="AM113" s="6"/>
      <c r="AN113" s="6"/>
      <c r="AO113" s="43">
        <f>'$$xSchpostCouncil 22'!AO113/'$$xSchpostCouncil 22'!AO$123</f>
        <v>1</v>
      </c>
      <c r="AP113" s="43">
        <f>'$$xSchpostCouncil 22'!AP113/'$$xSchpostCouncil 22'!AP$123</f>
        <v>0</v>
      </c>
      <c r="AQ113" s="43">
        <f>'$$xSchpostCouncil 22'!AQ113/'$$xSchpostCouncil 22'!AQ$123</f>
        <v>0</v>
      </c>
      <c r="AR113" s="6"/>
      <c r="AS113" s="6">
        <f>34000-6800</f>
        <v>27200</v>
      </c>
      <c r="AT113" s="6">
        <f>34000-30600</f>
        <v>3400</v>
      </c>
      <c r="AU113" s="6">
        <v>10200</v>
      </c>
      <c r="AV113" s="6"/>
      <c r="AW113" s="6">
        <v>37400</v>
      </c>
      <c r="AX113" s="6"/>
      <c r="AY113" s="6"/>
      <c r="AZ113" s="6">
        <v>248027.79</v>
      </c>
      <c r="BA113" s="6"/>
      <c r="BB113" s="6"/>
      <c r="BC113" s="43">
        <f>'$$xSchpostCouncil 22'!BC113/'$$xSchpostCouncil 22'!BC$123</f>
        <v>0</v>
      </c>
      <c r="BD113" s="43">
        <f>'$$xSchpostCouncil 22'!BD113/'$$xSchpostCouncil 22'!BD$123</f>
        <v>0</v>
      </c>
      <c r="BE113" s="6"/>
      <c r="BF113" s="6"/>
      <c r="BG113" s="6"/>
      <c r="BH113" s="43">
        <f>'$$xSchpostCouncil 22'!BH113/'$$xSchpostCouncil 22'!BH$123</f>
        <v>0</v>
      </c>
      <c r="BI113" s="6"/>
      <c r="BJ113" s="43">
        <f>'$$xSchpostCouncil 22'!BJ113/'$$xSchpostCouncil 22'!BJ$123</f>
        <v>0</v>
      </c>
      <c r="BK113" s="6"/>
      <c r="BL113" s="43">
        <f>'$$xSchpostCouncil 22'!BL113/'$$xSchpostCouncil 22'!BL$123</f>
        <v>0</v>
      </c>
      <c r="BM113" s="6"/>
      <c r="BN113" s="43">
        <f>'$$xSchpostCouncil 22'!BN113/'$$xSchpostCouncil 22'!BN$123</f>
        <v>0</v>
      </c>
      <c r="BO113" s="43">
        <f>'$$xSchpostCouncil 22'!BO113/'$$xSchpostCouncil 22'!BO$123</f>
        <v>0</v>
      </c>
      <c r="BP113" s="6"/>
      <c r="BQ113" s="6"/>
      <c r="BR113" s="6">
        <v>13859</v>
      </c>
      <c r="BS113" s="6"/>
      <c r="BT113" s="6"/>
      <c r="BU113" s="43">
        <f>'$$xSchpostCouncil 22'!BU113/'$$xSchpostCouncil 22'!BU$123</f>
        <v>0</v>
      </c>
      <c r="BV113" s="43">
        <f>'$$xSchpostCouncil 22'!BV113/'$$xSchpostCouncil 22'!BV$123</f>
        <v>0</v>
      </c>
      <c r="BW113" s="43">
        <f>'$$xSchpostCouncil 22'!BW113/'$$xSchpostCouncil 22'!BW$123</f>
        <v>0</v>
      </c>
      <c r="BX113" s="6">
        <v>531619</v>
      </c>
      <c r="BY113" s="6"/>
      <c r="BZ113" s="6"/>
      <c r="CA113" s="6"/>
      <c r="CB113" s="6"/>
      <c r="CC113" s="6"/>
      <c r="CD113" s="6"/>
      <c r="CE113" s="6"/>
      <c r="CF113" s="6">
        <v>43787</v>
      </c>
      <c r="CI113" s="43">
        <f>'$$xSchpostCouncil 22'!CI113/'$$xSchpostCouncil 22'!CI$123</f>
        <v>1</v>
      </c>
      <c r="CJ113" s="43">
        <f>'$$xSchpostCouncil 22'!CJ113/'$$xSchpostCouncil 22'!CJ$123</f>
        <v>1.4000025554370117</v>
      </c>
      <c r="CK113" s="43">
        <f>'$$xSchpostCouncil 22'!CK113/'$$xSchpostCouncil 22'!CK$123</f>
        <v>1</v>
      </c>
      <c r="CL113" s="43">
        <f>'$$xSchpostCouncil 22'!CL113/'$$xSchpostCouncil 22'!CL$123</f>
        <v>1.4000078990501392</v>
      </c>
      <c r="CM113" s="43">
        <f>'$$xSchpostCouncil 22'!CM113/'$$xSchpostCouncil 22'!CM$123</f>
        <v>0</v>
      </c>
      <c r="CN113" s="43">
        <f>'$$xSchpostCouncil 22'!CN113/'$$xSchpostCouncil 22'!CN$123</f>
        <v>0</v>
      </c>
      <c r="CO113" s="43">
        <f>'$$xSchpostCouncil 22'!CO113/'$$xSchpostCouncil 22'!CO$123</f>
        <v>4.500004441720189</v>
      </c>
      <c r="CP113" s="43">
        <f>'$$xSchpostCouncil 22'!CP113/'$$xSchpostCouncil 22'!CP$123</f>
        <v>4</v>
      </c>
      <c r="CQ113" s="43">
        <f>'$$xSchpostCouncil 22'!CQ113/'$$xSchpostCouncil 22'!CQ$123</f>
        <v>22</v>
      </c>
      <c r="CR113" s="43">
        <f>'$$xSchpostCouncil 22'!CR113/'$$xSchpostCouncil 22'!CR$123</f>
        <v>0</v>
      </c>
      <c r="CS113" s="6"/>
      <c r="CT113" s="6"/>
      <c r="CU113" s="6"/>
      <c r="CV113" s="43">
        <f>'$$xSchpostCouncil 22'!CV113/'$$xSchpostCouncil 22'!CV$123</f>
        <v>0</v>
      </c>
      <c r="CW113" s="43">
        <f>'$$xSchpostCouncil 22'!CW113/'$$xSchpostCouncil 22'!CW$123</f>
        <v>0</v>
      </c>
      <c r="CX113" s="6">
        <v>0</v>
      </c>
      <c r="CY113" s="6"/>
      <c r="CZ113" s="6"/>
      <c r="DB113" s="43">
        <f>'$$xSchpostCouncil 22'!DB113/'$$xSchpostCouncil 22'!DB$123</f>
        <v>0</v>
      </c>
      <c r="DC113" s="43">
        <f>'$$xSchpostCouncil 22'!DC113/'$$xSchpostCouncil 22'!DC$123</f>
        <v>0</v>
      </c>
      <c r="DF113" s="43">
        <f>'$$xSchpostCouncil 22'!DF113/'$$xSchpostCouncil 22'!DF$123</f>
        <v>0</v>
      </c>
      <c r="DG113" s="43">
        <f>'$$xSchpostCouncil 22'!DG113/'$$xSchpostCouncil 22'!DG$123</f>
        <v>0</v>
      </c>
      <c r="DH113" s="43">
        <f>'$$xSchpostCouncil 22'!DH113/'$$xSchpostCouncil 22'!DH$123</f>
        <v>0</v>
      </c>
      <c r="DI113" s="43">
        <f>'$$xSchpostCouncil 22'!DI113/'$$xSchpostCouncil 22'!DI$123</f>
        <v>0</v>
      </c>
      <c r="DJ113" s="43">
        <f>'$$xSchpostCouncil 22'!DJ113/'$$xSchpostCouncil 22'!DJ$123</f>
        <v>0</v>
      </c>
      <c r="DK113" s="43">
        <f>'$$xSchpostCouncil 22'!DK113/'$$xSchpostCouncil 22'!DK$123</f>
        <v>0</v>
      </c>
      <c r="DL113" s="6">
        <v>4209</v>
      </c>
      <c r="DM113" s="6"/>
      <c r="DN113" s="43">
        <f>'$$xSchpostCouncil 22'!DN113/'$$xSchpostCouncil 22'!DN$123</f>
        <v>0</v>
      </c>
      <c r="DO113" s="6"/>
      <c r="DP113" s="6">
        <v>14575</v>
      </c>
      <c r="DU113" s="6">
        <f>VLOOKUP($A113,[3]Totals!$B$2:$K$119,10,FALSE)</f>
        <v>148342.76999999999</v>
      </c>
      <c r="DV113" s="6">
        <f>VLOOKUP($A113,[3]Totals!$B$2:$K$119,9,FALSE)</f>
        <v>160874</v>
      </c>
    </row>
    <row r="114" spans="1:126" x14ac:dyDescent="0.2">
      <c r="A114" s="3">
        <v>331</v>
      </c>
      <c r="B114" s="2" t="s">
        <v>11</v>
      </c>
      <c r="C114" t="s">
        <v>7</v>
      </c>
      <c r="D114">
        <v>6</v>
      </c>
      <c r="E114" s="1">
        <v>366</v>
      </c>
      <c r="F114" s="4">
        <v>0.30099999999999999</v>
      </c>
      <c r="G114">
        <v>110</v>
      </c>
      <c r="H114" s="43">
        <f>'$$xSchpostCouncil 22'!H114/'$$xSchpostCouncil 22'!H$123</f>
        <v>1</v>
      </c>
      <c r="I114" s="43">
        <f>'$$xSchpostCouncil 22'!I114/'$$xSchpostCouncil 22'!I$123</f>
        <v>0</v>
      </c>
      <c r="J114" s="43">
        <f>'$$xSchpostCouncil 22'!J114/'$$xSchpostCouncil 22'!J$123</f>
        <v>0</v>
      </c>
      <c r="K114" s="43">
        <f>'$$xSchpostCouncil 22'!K114/'$$xSchpostCouncil 22'!K$123</f>
        <v>1</v>
      </c>
      <c r="L114" s="6">
        <v>5061</v>
      </c>
      <c r="M114" s="43">
        <f>'$$xSchpostCouncil 22'!M114/'$$xSchpostCouncil 22'!M$123</f>
        <v>1</v>
      </c>
      <c r="N114" s="43">
        <f>'$$xSchpostCouncil 22'!N114/'$$xSchpostCouncil 22'!N$123</f>
        <v>1</v>
      </c>
      <c r="O114" s="43">
        <f>'$$xSchpostCouncil 22'!O114/'$$xSchpostCouncil 22'!O$123</f>
        <v>2</v>
      </c>
      <c r="P114" s="43">
        <f>'$$xSchpostCouncil 22'!P114/'$$xSchpostCouncil 22'!P$123</f>
        <v>1</v>
      </c>
      <c r="Q114" s="43">
        <f>'$$xSchpostCouncil 22'!Q114/'$$xSchpostCouncil 22'!Q$123</f>
        <v>2</v>
      </c>
      <c r="R114" s="43">
        <f>'$$xSchpostCouncil 22'!R114/'$$xSchpostCouncil 22'!R$123</f>
        <v>0</v>
      </c>
      <c r="S114" s="43">
        <f>'$$xSchpostCouncil 22'!S114/'$$xSchpostCouncil 22'!S$123</f>
        <v>2</v>
      </c>
      <c r="T114" s="43">
        <f>'$$xSchpostCouncil 22'!T114/'$$xSchpostCouncil 22'!T$123</f>
        <v>4</v>
      </c>
      <c r="U114" s="6"/>
      <c r="V114" s="6"/>
      <c r="W114" s="6"/>
      <c r="X114" s="6"/>
      <c r="Y114" s="43">
        <f>'$$xSchpostCouncil 22'!Y114/'$$xSchpostCouncil 22'!Y$123</f>
        <v>0</v>
      </c>
      <c r="Z114" s="43">
        <f>'$$xSchpostCouncil 22'!Z114/'$$xSchpostCouncil 22'!Z$123</f>
        <v>0</v>
      </c>
      <c r="AA114" s="43">
        <f>'$$xSchpostCouncil 22'!AA114/'$$xSchpostCouncil 22'!AA$123</f>
        <v>0</v>
      </c>
      <c r="AB114" s="43">
        <f>'$$xSchpostCouncil 22'!AB114/'$$xSchpostCouncil 22'!AB$123</f>
        <v>0</v>
      </c>
      <c r="AC114" s="6"/>
      <c r="AD114" s="6">
        <v>125239</v>
      </c>
      <c r="AE114" s="43">
        <f>'$$xSchpostCouncil 22'!AE114/'$$xSchpostCouncil 22'!AE$123</f>
        <v>1</v>
      </c>
      <c r="AF114" s="43">
        <f>'$$xSchpostCouncil 22'!AF114/'$$xSchpostCouncil 22'!AF$123</f>
        <v>1</v>
      </c>
      <c r="AG114" s="43">
        <f>'$$xSchpostCouncil 22'!AG114/'$$xSchpostCouncil 22'!AG$123</f>
        <v>4</v>
      </c>
      <c r="AH114" s="43">
        <f>'$$xSchpostCouncil 22'!AH114/'$$xSchpostCouncil 22'!AH$123</f>
        <v>0</v>
      </c>
      <c r="AI114" s="43">
        <f>'$$xSchpostCouncil 22'!AI114/'$$xSchpostCouncil 22'!AI$123</f>
        <v>0</v>
      </c>
      <c r="AJ114" s="43"/>
      <c r="AK114" s="43">
        <f>'$$xSchpostCouncil 22'!AK114/'$$xSchpostCouncil 22'!AK$123</f>
        <v>1</v>
      </c>
      <c r="AL114" s="43">
        <f>'$$xSchpostCouncil 22'!AL114/'$$xSchpostCouncil 22'!AL$123</f>
        <v>0</v>
      </c>
      <c r="AM114" s="6"/>
      <c r="AN114" s="6"/>
      <c r="AO114" s="43">
        <f>'$$xSchpostCouncil 22'!AO114/'$$xSchpostCouncil 22'!AO$123</f>
        <v>0</v>
      </c>
      <c r="AP114" s="43">
        <f>'$$xSchpostCouncil 22'!AP114/'$$xSchpostCouncil 22'!AP$123</f>
        <v>0.17999626895504089</v>
      </c>
      <c r="AQ114" s="43">
        <f>'$$xSchpostCouncil 22'!AQ114/'$$xSchpostCouncil 22'!AQ$123</f>
        <v>0</v>
      </c>
      <c r="AR114" s="6"/>
      <c r="AS114" s="6"/>
      <c r="AT114" s="6"/>
      <c r="AU114" s="6"/>
      <c r="AV114" s="6"/>
      <c r="AW114" s="6">
        <v>0</v>
      </c>
      <c r="AX114" s="6"/>
      <c r="AY114" s="6"/>
      <c r="AZ114" s="6">
        <v>65676.259999999995</v>
      </c>
      <c r="BA114" s="6"/>
      <c r="BB114" s="6"/>
      <c r="BC114" s="43">
        <f>'$$xSchpostCouncil 22'!BC114/'$$xSchpostCouncil 22'!BC$123</f>
        <v>0</v>
      </c>
      <c r="BD114" s="43">
        <f>'$$xSchpostCouncil 22'!BD114/'$$xSchpostCouncil 22'!BD$123</f>
        <v>0</v>
      </c>
      <c r="BE114" s="6"/>
      <c r="BF114" s="6"/>
      <c r="BG114" s="6"/>
      <c r="BH114" s="43">
        <f>'$$xSchpostCouncil 22'!BH114/'$$xSchpostCouncil 22'!BH$123</f>
        <v>0</v>
      </c>
      <c r="BI114" s="6"/>
      <c r="BJ114" s="43">
        <f>'$$xSchpostCouncil 22'!BJ114/'$$xSchpostCouncil 22'!BJ$123</f>
        <v>0</v>
      </c>
      <c r="BK114" s="6"/>
      <c r="BL114" s="43">
        <f>'$$xSchpostCouncil 22'!BL114/'$$xSchpostCouncil 22'!BL$123</f>
        <v>0</v>
      </c>
      <c r="BM114" s="6"/>
      <c r="BN114" s="43">
        <f>'$$xSchpostCouncil 22'!BN114/'$$xSchpostCouncil 22'!BN$123</f>
        <v>0</v>
      </c>
      <c r="BO114" s="43">
        <f>'$$xSchpostCouncil 22'!BO114/'$$xSchpostCouncil 22'!BO$123</f>
        <v>0</v>
      </c>
      <c r="BP114" s="6"/>
      <c r="BQ114" s="6"/>
      <c r="BR114" s="6">
        <v>13859</v>
      </c>
      <c r="BS114" s="6"/>
      <c r="BT114" s="6"/>
      <c r="BU114" s="43">
        <f>'$$xSchpostCouncil 22'!BU114/'$$xSchpostCouncil 22'!BU$123</f>
        <v>0</v>
      </c>
      <c r="BV114" s="43">
        <f>'$$xSchpostCouncil 22'!BV114/'$$xSchpostCouncil 22'!BV$123</f>
        <v>0</v>
      </c>
      <c r="BW114" s="43">
        <f>'$$xSchpostCouncil 22'!BW114/'$$xSchpostCouncil 22'!BW$123</f>
        <v>0</v>
      </c>
      <c r="BX114" s="6">
        <v>278467</v>
      </c>
      <c r="BY114" s="6"/>
      <c r="BZ114" s="6"/>
      <c r="CA114" s="6"/>
      <c r="CB114" s="6"/>
      <c r="CC114" s="6"/>
      <c r="CD114" s="6"/>
      <c r="CE114" s="6"/>
      <c r="CF114" s="6">
        <v>0</v>
      </c>
      <c r="CI114" s="43">
        <f>'$$xSchpostCouncil 22'!CI114/'$$xSchpostCouncil 22'!CI$123</f>
        <v>1</v>
      </c>
      <c r="CJ114" s="43">
        <f>'$$xSchpostCouncil 22'!CJ114/'$$xSchpostCouncil 22'!CJ$123</f>
        <v>0.89999936114074708</v>
      </c>
      <c r="CK114" s="43">
        <f>'$$xSchpostCouncil 22'!CK114/'$$xSchpostCouncil 22'!CK$123</f>
        <v>1</v>
      </c>
      <c r="CL114" s="43">
        <f>'$$xSchpostCouncil 22'!CL114/'$$xSchpostCouncil 22'!CL$123</f>
        <v>0</v>
      </c>
      <c r="CM114" s="43">
        <f>'$$xSchpostCouncil 22'!CM114/'$$xSchpostCouncil 22'!CM$123</f>
        <v>0</v>
      </c>
      <c r="CN114" s="43">
        <f>'$$xSchpostCouncil 22'!CN114/'$$xSchpostCouncil 22'!CN$123</f>
        <v>0</v>
      </c>
      <c r="CO114" s="43">
        <f>'$$xSchpostCouncil 22'!CO114/'$$xSchpostCouncil 22'!CO$123</f>
        <v>3</v>
      </c>
      <c r="CP114" s="43">
        <f>'$$xSchpostCouncil 22'!CP114/'$$xSchpostCouncil 22'!CP$123</f>
        <v>3</v>
      </c>
      <c r="CQ114" s="43">
        <f>'$$xSchpostCouncil 22'!CQ114/'$$xSchpostCouncil 22'!CQ$123</f>
        <v>16</v>
      </c>
      <c r="CR114" s="43">
        <f>'$$xSchpostCouncil 22'!CR114/'$$xSchpostCouncil 22'!CR$123</f>
        <v>0</v>
      </c>
      <c r="CS114" s="6"/>
      <c r="CT114" s="6"/>
      <c r="CU114" s="6"/>
      <c r="CV114" s="43">
        <f>'$$xSchpostCouncil 22'!CV114/'$$xSchpostCouncil 22'!CV$123</f>
        <v>0</v>
      </c>
      <c r="CW114" s="43">
        <f>'$$xSchpostCouncil 22'!CW114/'$$xSchpostCouncil 22'!CW$123</f>
        <v>0</v>
      </c>
      <c r="CX114" s="6">
        <v>0</v>
      </c>
      <c r="CY114" s="6"/>
      <c r="CZ114" s="6"/>
      <c r="DB114" s="43">
        <f>'$$xSchpostCouncil 22'!DB114/'$$xSchpostCouncil 22'!DB$123</f>
        <v>0</v>
      </c>
      <c r="DC114" s="43">
        <f>'$$xSchpostCouncil 22'!DC114/'$$xSchpostCouncil 22'!DC$123</f>
        <v>0</v>
      </c>
      <c r="DF114" s="43">
        <f>'$$xSchpostCouncil 22'!DF114/'$$xSchpostCouncil 22'!DF$123</f>
        <v>0</v>
      </c>
      <c r="DG114" s="43">
        <f>'$$xSchpostCouncil 22'!DG114/'$$xSchpostCouncil 22'!DG$123</f>
        <v>0</v>
      </c>
      <c r="DH114" s="43">
        <f>'$$xSchpostCouncil 22'!DH114/'$$xSchpostCouncil 22'!DH$123</f>
        <v>0</v>
      </c>
      <c r="DI114" s="43">
        <f>'$$xSchpostCouncil 22'!DI114/'$$xSchpostCouncil 22'!DI$123</f>
        <v>0</v>
      </c>
      <c r="DJ114" s="43">
        <f>'$$xSchpostCouncil 22'!DJ114/'$$xSchpostCouncil 22'!DJ$123</f>
        <v>0</v>
      </c>
      <c r="DK114" s="43">
        <f>'$$xSchpostCouncil 22'!DK114/'$$xSchpostCouncil 22'!DK$123</f>
        <v>0</v>
      </c>
      <c r="DL114" s="6">
        <v>2195</v>
      </c>
      <c r="DM114" s="6"/>
      <c r="DN114" s="43">
        <f>'$$xSchpostCouncil 22'!DN114/'$$xSchpostCouncil 22'!DN$123</f>
        <v>0</v>
      </c>
      <c r="DO114" s="6"/>
      <c r="DP114" s="6">
        <v>3375</v>
      </c>
      <c r="DU114" s="6">
        <f>VLOOKUP($A114,[3]Totals!$B$2:$K$119,10,FALSE)</f>
        <v>111613.59</v>
      </c>
      <c r="DV114" s="6">
        <f>VLOOKUP($A114,[3]Totals!$B$2:$K$119,9,FALSE)</f>
        <v>290266</v>
      </c>
    </row>
    <row r="115" spans="1:126" x14ac:dyDescent="0.2">
      <c r="A115" s="3">
        <v>332</v>
      </c>
      <c r="B115" s="2" t="s">
        <v>10</v>
      </c>
      <c r="C115" t="s">
        <v>4</v>
      </c>
      <c r="D115">
        <v>6</v>
      </c>
      <c r="E115" s="1">
        <v>400</v>
      </c>
      <c r="F115" s="4">
        <v>0.73299999999999998</v>
      </c>
      <c r="G115">
        <v>293</v>
      </c>
      <c r="H115" s="43">
        <f>'$$xSchpostCouncil 22'!H115/'$$xSchpostCouncil 22'!H$123</f>
        <v>1</v>
      </c>
      <c r="I115" s="43">
        <f>'$$xSchpostCouncil 22'!I115/'$$xSchpostCouncil 22'!I$123</f>
        <v>1</v>
      </c>
      <c r="J115" s="43">
        <f>'$$xSchpostCouncil 22'!J115/'$$xSchpostCouncil 22'!J$123</f>
        <v>0</v>
      </c>
      <c r="K115" s="43">
        <f>'$$xSchpostCouncil 22'!K115/'$$xSchpostCouncil 22'!K$123</f>
        <v>1</v>
      </c>
      <c r="L115" s="6">
        <v>5433</v>
      </c>
      <c r="M115" s="43">
        <f>'$$xSchpostCouncil 22'!M115/'$$xSchpostCouncil 22'!M$123</f>
        <v>1</v>
      </c>
      <c r="N115" s="43">
        <f>'$$xSchpostCouncil 22'!N115/'$$xSchpostCouncil 22'!N$123</f>
        <v>1</v>
      </c>
      <c r="O115" s="43">
        <f>'$$xSchpostCouncil 22'!O115/'$$xSchpostCouncil 22'!O$123</f>
        <v>3</v>
      </c>
      <c r="P115" s="43">
        <f>'$$xSchpostCouncil 22'!P115/'$$xSchpostCouncil 22'!P$123</f>
        <v>1</v>
      </c>
      <c r="Q115" s="43">
        <f>'$$xSchpostCouncil 22'!Q115/'$$xSchpostCouncil 22'!Q$123</f>
        <v>2</v>
      </c>
      <c r="R115" s="43">
        <f>'$$xSchpostCouncil 22'!R115/'$$xSchpostCouncil 22'!R$123</f>
        <v>0</v>
      </c>
      <c r="S115" s="43">
        <f>'$$xSchpostCouncil 22'!S115/'$$xSchpostCouncil 22'!S$123</f>
        <v>2</v>
      </c>
      <c r="T115" s="43">
        <f>'$$xSchpostCouncil 22'!T115/'$$xSchpostCouncil 22'!T$123</f>
        <v>4</v>
      </c>
      <c r="U115" s="6"/>
      <c r="V115" s="6"/>
      <c r="W115" s="6"/>
      <c r="X115" s="6"/>
      <c r="Y115" s="43">
        <f>'$$xSchpostCouncil 22'!Y115/'$$xSchpostCouncil 22'!Y$123</f>
        <v>0</v>
      </c>
      <c r="Z115" s="43">
        <f>'$$xSchpostCouncil 22'!Z115/'$$xSchpostCouncil 22'!Z$123</f>
        <v>0</v>
      </c>
      <c r="AA115" s="43">
        <f>'$$xSchpostCouncil 22'!AA115/'$$xSchpostCouncil 22'!AA$123</f>
        <v>0</v>
      </c>
      <c r="AB115" s="43">
        <f>'$$xSchpostCouncil 22'!AB115/'$$xSchpostCouncil 22'!AB$123</f>
        <v>0</v>
      </c>
      <c r="AC115" s="6"/>
      <c r="AD115" s="6">
        <v>159136</v>
      </c>
      <c r="AE115" s="43">
        <f>'$$xSchpostCouncil 22'!AE115/'$$xSchpostCouncil 22'!AE$123</f>
        <v>1</v>
      </c>
      <c r="AF115" s="43">
        <f>'$$xSchpostCouncil 22'!AF115/'$$xSchpostCouncil 22'!AF$123</f>
        <v>2</v>
      </c>
      <c r="AG115" s="43">
        <f>'$$xSchpostCouncil 22'!AG115/'$$xSchpostCouncil 22'!AG$123</f>
        <v>10</v>
      </c>
      <c r="AH115" s="43">
        <f>'$$xSchpostCouncil 22'!AH115/'$$xSchpostCouncil 22'!AH$123</f>
        <v>0</v>
      </c>
      <c r="AI115" s="43">
        <f>'$$xSchpostCouncil 22'!AI115/'$$xSchpostCouncil 22'!AI$123</f>
        <v>8</v>
      </c>
      <c r="AJ115" s="43"/>
      <c r="AK115" s="43">
        <f>'$$xSchpostCouncil 22'!AK115/'$$xSchpostCouncil 22'!AK$123</f>
        <v>0</v>
      </c>
      <c r="AL115" s="43">
        <f>'$$xSchpostCouncil 22'!AL115/'$$xSchpostCouncil 22'!AL$123</f>
        <v>1</v>
      </c>
      <c r="AM115" s="6"/>
      <c r="AN115" s="6"/>
      <c r="AO115" s="43">
        <f>'$$xSchpostCouncil 22'!AO115/'$$xSchpostCouncil 22'!AO$123</f>
        <v>1</v>
      </c>
      <c r="AP115" s="43">
        <f>'$$xSchpostCouncil 22'!AP115/'$$xSchpostCouncil 22'!AP$123</f>
        <v>0</v>
      </c>
      <c r="AQ115" s="43">
        <f>'$$xSchpostCouncil 22'!AQ115/'$$xSchpostCouncil 22'!AQ$123</f>
        <v>0</v>
      </c>
      <c r="AR115" s="6"/>
      <c r="AS115" s="6">
        <f>40800-13600</f>
        <v>27200</v>
      </c>
      <c r="AT115" s="6">
        <f>40800-37400</f>
        <v>3400</v>
      </c>
      <c r="AU115" s="6">
        <v>10200</v>
      </c>
      <c r="AV115" s="6"/>
      <c r="AW115" s="6">
        <v>51000</v>
      </c>
      <c r="AX115" s="6"/>
      <c r="AY115" s="6"/>
      <c r="AZ115" s="6">
        <v>181371.87</v>
      </c>
      <c r="BA115" s="6"/>
      <c r="BB115" s="6"/>
      <c r="BC115" s="43">
        <f>'$$xSchpostCouncil 22'!BC115/'$$xSchpostCouncil 22'!BC$123</f>
        <v>0</v>
      </c>
      <c r="BD115" s="43">
        <f>'$$xSchpostCouncil 22'!BD115/'$$xSchpostCouncil 22'!BD$123</f>
        <v>0</v>
      </c>
      <c r="BE115" s="6"/>
      <c r="BF115" s="6"/>
      <c r="BG115" s="6"/>
      <c r="BH115" s="43">
        <f>'$$xSchpostCouncil 22'!BH115/'$$xSchpostCouncil 22'!BH$123</f>
        <v>0</v>
      </c>
      <c r="BI115" s="6"/>
      <c r="BJ115" s="43">
        <f>'$$xSchpostCouncil 22'!BJ115/'$$xSchpostCouncil 22'!BJ$123</f>
        <v>0</v>
      </c>
      <c r="BK115" s="6"/>
      <c r="BL115" s="43">
        <f>'$$xSchpostCouncil 22'!BL115/'$$xSchpostCouncil 22'!BL$123</f>
        <v>0</v>
      </c>
      <c r="BM115" s="6"/>
      <c r="BN115" s="43">
        <f>'$$xSchpostCouncil 22'!BN115/'$$xSchpostCouncil 22'!BN$123</f>
        <v>0</v>
      </c>
      <c r="BO115" s="43">
        <f>'$$xSchpostCouncil 22'!BO115/'$$xSchpostCouncil 22'!BO$123</f>
        <v>0</v>
      </c>
      <c r="BP115" s="6"/>
      <c r="BQ115" s="6"/>
      <c r="BR115" s="6"/>
      <c r="BS115" s="6"/>
      <c r="BT115" s="6"/>
      <c r="BU115" s="43">
        <f>'$$xSchpostCouncil 22'!BU115/'$$xSchpostCouncil 22'!BU$123</f>
        <v>0</v>
      </c>
      <c r="BV115" s="43">
        <f>'$$xSchpostCouncil 22'!BV115/'$$xSchpostCouncil 22'!BV$123</f>
        <v>0</v>
      </c>
      <c r="BW115" s="43">
        <f>'$$xSchpostCouncil 22'!BW115/'$$xSchpostCouncil 22'!BW$123</f>
        <v>0</v>
      </c>
      <c r="BX115" s="6">
        <v>741734.91999999993</v>
      </c>
      <c r="BY115" s="6"/>
      <c r="BZ115" s="6"/>
      <c r="CA115" s="6"/>
      <c r="CB115" s="6"/>
      <c r="CC115" s="6"/>
      <c r="CD115" s="6"/>
      <c r="CE115" s="6"/>
      <c r="CF115" s="6">
        <v>0</v>
      </c>
      <c r="CI115" s="43">
        <f>'$$xSchpostCouncil 22'!CI115/'$$xSchpostCouncil 22'!CI$123</f>
        <v>1</v>
      </c>
      <c r="CJ115" s="43">
        <f>'$$xSchpostCouncil 22'!CJ115/'$$xSchpostCouncil 22'!CJ$123</f>
        <v>0.40000255543701169</v>
      </c>
      <c r="CK115" s="43">
        <f>'$$xSchpostCouncil 22'!CK115/'$$xSchpostCouncil 22'!CK$123</f>
        <v>1</v>
      </c>
      <c r="CL115" s="43">
        <f>'$$xSchpostCouncil 22'!CL115/'$$xSchpostCouncil 22'!CL$123</f>
        <v>1</v>
      </c>
      <c r="CM115" s="43">
        <f>'$$xSchpostCouncil 22'!CM115/'$$xSchpostCouncil 22'!CM$123</f>
        <v>0</v>
      </c>
      <c r="CN115" s="43">
        <f>'$$xSchpostCouncil 22'!CN115/'$$xSchpostCouncil 22'!CN$123</f>
        <v>0</v>
      </c>
      <c r="CO115" s="43">
        <f>'$$xSchpostCouncil 22'!CO115/'$$xSchpostCouncil 22'!CO$123</f>
        <v>3</v>
      </c>
      <c r="CP115" s="43">
        <f>'$$xSchpostCouncil 22'!CP115/'$$xSchpostCouncil 22'!CP$123</f>
        <v>2</v>
      </c>
      <c r="CQ115" s="43">
        <f>'$$xSchpostCouncil 22'!CQ115/'$$xSchpostCouncil 22'!CQ$123</f>
        <v>15.899999111655962</v>
      </c>
      <c r="CR115" s="43">
        <f>'$$xSchpostCouncil 22'!CR115/'$$xSchpostCouncil 22'!CR$123</f>
        <v>2</v>
      </c>
      <c r="CS115" s="6">
        <v>23000</v>
      </c>
      <c r="CT115" s="6"/>
      <c r="CU115" s="6">
        <v>100000</v>
      </c>
      <c r="CV115" s="43">
        <f>'$$xSchpostCouncil 22'!CV115/'$$xSchpostCouncil 22'!CV$123</f>
        <v>0</v>
      </c>
      <c r="CW115" s="43">
        <f>'$$xSchpostCouncil 22'!CW115/'$$xSchpostCouncil 22'!CW$123</f>
        <v>0</v>
      </c>
      <c r="CX115" s="6">
        <v>0</v>
      </c>
      <c r="CY115" s="6"/>
      <c r="CZ115" s="6"/>
      <c r="DB115" s="43">
        <f>'$$xSchpostCouncil 22'!DB115/'$$xSchpostCouncil 22'!DB$123</f>
        <v>0</v>
      </c>
      <c r="DC115" s="43">
        <f>'$$xSchpostCouncil 22'!DC115/'$$xSchpostCouncil 22'!DC$123</f>
        <v>0</v>
      </c>
      <c r="DF115" s="43">
        <f>'$$xSchpostCouncil 22'!DF115/'$$xSchpostCouncil 22'!DF$123</f>
        <v>0</v>
      </c>
      <c r="DG115" s="43">
        <f>'$$xSchpostCouncil 22'!DG115/'$$xSchpostCouncil 22'!DG$123</f>
        <v>0</v>
      </c>
      <c r="DH115" s="43">
        <f>'$$xSchpostCouncil 22'!DH115/'$$xSchpostCouncil 22'!DH$123</f>
        <v>0</v>
      </c>
      <c r="DI115" s="43">
        <f>'$$xSchpostCouncil 22'!DI115/'$$xSchpostCouncil 22'!DI$123</f>
        <v>0</v>
      </c>
      <c r="DJ115" s="43">
        <f>'$$xSchpostCouncil 22'!DJ115/'$$xSchpostCouncil 22'!DJ$123</f>
        <v>0</v>
      </c>
      <c r="DK115" s="43">
        <f>'$$xSchpostCouncil 22'!DK115/'$$xSchpostCouncil 22'!DK$123</f>
        <v>0</v>
      </c>
      <c r="DL115" s="6">
        <v>5879</v>
      </c>
      <c r="DM115" s="6"/>
      <c r="DN115" s="43">
        <f>'$$xSchpostCouncil 22'!DN115/'$$xSchpostCouncil 22'!DN$123</f>
        <v>0</v>
      </c>
      <c r="DO115" s="6"/>
      <c r="DP115" s="6">
        <v>26125</v>
      </c>
      <c r="DU115" s="6">
        <f>VLOOKUP($A115,[3]Totals!$B$2:$K$119,10,FALSE)</f>
        <v>212734.14</v>
      </c>
      <c r="DV115" s="6">
        <f>VLOOKUP($A115,[3]Totals!$B$2:$K$119,9,FALSE)</f>
        <v>225138</v>
      </c>
    </row>
    <row r="116" spans="1:126" x14ac:dyDescent="0.2">
      <c r="A116" s="3">
        <v>333</v>
      </c>
      <c r="B116" s="2" t="s">
        <v>9</v>
      </c>
      <c r="C116" t="s">
        <v>7</v>
      </c>
      <c r="D116">
        <v>6</v>
      </c>
      <c r="E116" s="1">
        <v>434</v>
      </c>
      <c r="F116" s="4">
        <v>0.28599999999999998</v>
      </c>
      <c r="G116">
        <v>124</v>
      </c>
      <c r="H116" s="43">
        <f>'$$xSchpostCouncil 22'!H116/'$$xSchpostCouncil 22'!H$123</f>
        <v>0.5</v>
      </c>
      <c r="I116" s="43">
        <f>'$$xSchpostCouncil 22'!I116/'$$xSchpostCouncil 22'!I$123</f>
        <v>0</v>
      </c>
      <c r="J116" s="43">
        <f>'$$xSchpostCouncil 22'!J116/'$$xSchpostCouncil 22'!J$123</f>
        <v>0</v>
      </c>
      <c r="K116" s="43">
        <f>'$$xSchpostCouncil 22'!K116/'$$xSchpostCouncil 22'!K$123</f>
        <v>1</v>
      </c>
      <c r="L116" s="6">
        <v>5725</v>
      </c>
      <c r="M116" s="43">
        <f>'$$xSchpostCouncil 22'!M116/'$$xSchpostCouncil 22'!M$123</f>
        <v>1</v>
      </c>
      <c r="N116" s="43">
        <f>'$$xSchpostCouncil 22'!N116/'$$xSchpostCouncil 22'!N$123</f>
        <v>1</v>
      </c>
      <c r="O116" s="43">
        <f>'$$xSchpostCouncil 22'!O116/'$$xSchpostCouncil 22'!O$123</f>
        <v>2</v>
      </c>
      <c r="P116" s="43">
        <f>'$$xSchpostCouncil 22'!P116/'$$xSchpostCouncil 22'!P$123</f>
        <v>1</v>
      </c>
      <c r="Q116" s="43">
        <f>'$$xSchpostCouncil 22'!Q116/'$$xSchpostCouncil 22'!Q$123</f>
        <v>0</v>
      </c>
      <c r="R116" s="43">
        <f>'$$xSchpostCouncil 22'!R116/'$$xSchpostCouncil 22'!R$123</f>
        <v>0</v>
      </c>
      <c r="S116" s="43">
        <f>'$$xSchpostCouncil 22'!S116/'$$xSchpostCouncil 22'!S$123</f>
        <v>0</v>
      </c>
      <c r="T116" s="43">
        <f>'$$xSchpostCouncil 22'!T116/'$$xSchpostCouncil 22'!T$123</f>
        <v>0</v>
      </c>
      <c r="U116" s="6"/>
      <c r="V116" s="6"/>
      <c r="W116" s="6"/>
      <c r="X116" s="6"/>
      <c r="Y116" s="43">
        <f>'$$xSchpostCouncil 22'!Y116/'$$xSchpostCouncil 22'!Y$123</f>
        <v>0</v>
      </c>
      <c r="Z116" s="43">
        <f>'$$xSchpostCouncil 22'!Z116/'$$xSchpostCouncil 22'!Z$123</f>
        <v>0</v>
      </c>
      <c r="AA116" s="43">
        <f>'$$xSchpostCouncil 22'!AA116/'$$xSchpostCouncil 22'!AA$123</f>
        <v>0</v>
      </c>
      <c r="AB116" s="43">
        <f>'$$xSchpostCouncil 22'!AB116/'$$xSchpostCouncil 22'!AB$123</f>
        <v>0</v>
      </c>
      <c r="AC116" s="6"/>
      <c r="AD116" s="6">
        <v>133787</v>
      </c>
      <c r="AE116" s="43">
        <f>'$$xSchpostCouncil 22'!AE116/'$$xSchpostCouncil 22'!AE$123</f>
        <v>1</v>
      </c>
      <c r="AF116" s="43">
        <f>'$$xSchpostCouncil 22'!AF116/'$$xSchpostCouncil 22'!AF$123</f>
        <v>1</v>
      </c>
      <c r="AG116" s="43">
        <f>'$$xSchpostCouncil 22'!AG116/'$$xSchpostCouncil 22'!AG$123</f>
        <v>4</v>
      </c>
      <c r="AH116" s="43">
        <f>'$$xSchpostCouncil 22'!AH116/'$$xSchpostCouncil 22'!AH$123</f>
        <v>0</v>
      </c>
      <c r="AI116" s="43">
        <f>'$$xSchpostCouncil 22'!AI116/'$$xSchpostCouncil 22'!AI$123</f>
        <v>0</v>
      </c>
      <c r="AJ116" s="43"/>
      <c r="AK116" s="43">
        <f>'$$xSchpostCouncil 22'!AK116/'$$xSchpostCouncil 22'!AK$123</f>
        <v>0</v>
      </c>
      <c r="AL116" s="43">
        <f>'$$xSchpostCouncil 22'!AL116/'$$xSchpostCouncil 22'!AL$123</f>
        <v>0</v>
      </c>
      <c r="AM116" s="6"/>
      <c r="AN116" s="6"/>
      <c r="AO116" s="43">
        <f>'$$xSchpostCouncil 22'!AO116/'$$xSchpostCouncil 22'!AO$123</f>
        <v>0</v>
      </c>
      <c r="AP116" s="43">
        <f>'$$xSchpostCouncil 22'!AP116/'$$xSchpostCouncil 22'!AP$123</f>
        <v>0.14000302036972878</v>
      </c>
      <c r="AQ116" s="43">
        <f>'$$xSchpostCouncil 22'!AQ116/'$$xSchpostCouncil 22'!AQ$123</f>
        <v>0</v>
      </c>
      <c r="AR116" s="6"/>
      <c r="AS116" s="6"/>
      <c r="AT116" s="6"/>
      <c r="AU116" s="6"/>
      <c r="AV116" s="6"/>
      <c r="AW116" s="6">
        <v>0</v>
      </c>
      <c r="AX116" s="6"/>
      <c r="AY116" s="6"/>
      <c r="AZ116" s="6">
        <v>0</v>
      </c>
      <c r="BA116" s="6"/>
      <c r="BB116" s="6">
        <v>10850</v>
      </c>
      <c r="BC116" s="43">
        <f>'$$xSchpostCouncil 22'!BC116/'$$xSchpostCouncil 22'!BC$123</f>
        <v>0</v>
      </c>
      <c r="BD116" s="43">
        <f>'$$xSchpostCouncil 22'!BD116/'$$xSchpostCouncil 22'!BD$123</f>
        <v>0</v>
      </c>
      <c r="BE116" s="6"/>
      <c r="BF116" s="6"/>
      <c r="BG116" s="6"/>
      <c r="BH116" s="43">
        <f>'$$xSchpostCouncil 22'!BH116/'$$xSchpostCouncil 22'!BH$123</f>
        <v>0</v>
      </c>
      <c r="BI116" s="6"/>
      <c r="BJ116" s="43">
        <f>'$$xSchpostCouncil 22'!BJ116/'$$xSchpostCouncil 22'!BJ$123</f>
        <v>0</v>
      </c>
      <c r="BK116" s="6"/>
      <c r="BL116" s="43">
        <f>'$$xSchpostCouncil 22'!BL116/'$$xSchpostCouncil 22'!BL$123</f>
        <v>0</v>
      </c>
      <c r="BM116" s="6"/>
      <c r="BN116" s="43">
        <f>'$$xSchpostCouncil 22'!BN116/'$$xSchpostCouncil 22'!BN$123</f>
        <v>0</v>
      </c>
      <c r="BO116" s="43">
        <f>'$$xSchpostCouncil 22'!BO116/'$$xSchpostCouncil 22'!BO$123</f>
        <v>0</v>
      </c>
      <c r="BP116" s="6"/>
      <c r="BQ116" s="6"/>
      <c r="BR116" s="6"/>
      <c r="BS116" s="6"/>
      <c r="BT116" s="6"/>
      <c r="BU116" s="43">
        <f>'$$xSchpostCouncil 22'!BU116/'$$xSchpostCouncil 22'!BU$123</f>
        <v>0</v>
      </c>
      <c r="BV116" s="43">
        <f>'$$xSchpostCouncil 22'!BV116/'$$xSchpostCouncil 22'!BV$123</f>
        <v>0</v>
      </c>
      <c r="BW116" s="43">
        <f>'$$xSchpostCouncil 22'!BW116/'$$xSchpostCouncil 22'!BW$123</f>
        <v>0</v>
      </c>
      <c r="BX116" s="6">
        <v>313908.68</v>
      </c>
      <c r="BY116" s="6"/>
      <c r="BZ116" s="6"/>
      <c r="CA116" s="6"/>
      <c r="CB116" s="6"/>
      <c r="CC116" s="6"/>
      <c r="CD116" s="6"/>
      <c r="CE116" s="6"/>
      <c r="CF116" s="6">
        <v>112569</v>
      </c>
      <c r="CI116" s="43">
        <f>'$$xSchpostCouncil 22'!CI116/'$$xSchpostCouncil 22'!CI$123</f>
        <v>1</v>
      </c>
      <c r="CJ116" s="43">
        <f>'$$xSchpostCouncil 22'!CJ116/'$$xSchpostCouncil 22'!CJ$123</f>
        <v>1.1000006388592529</v>
      </c>
      <c r="CK116" s="43">
        <f>'$$xSchpostCouncil 22'!CK116/'$$xSchpostCouncil 22'!CK$123</f>
        <v>1</v>
      </c>
      <c r="CL116" s="43">
        <f>'$$xSchpostCouncil 22'!CL116/'$$xSchpostCouncil 22'!CL$123</f>
        <v>1.1000019747625347</v>
      </c>
      <c r="CM116" s="43">
        <f>'$$xSchpostCouncil 22'!CM116/'$$xSchpostCouncil 22'!CM$123</f>
        <v>0</v>
      </c>
      <c r="CN116" s="43">
        <f>'$$xSchpostCouncil 22'!CN116/'$$xSchpostCouncil 22'!CN$123</f>
        <v>0</v>
      </c>
      <c r="CO116" s="43">
        <f>'$$xSchpostCouncil 22'!CO116/'$$xSchpostCouncil 22'!CO$123</f>
        <v>4.500004441720189</v>
      </c>
      <c r="CP116" s="43">
        <f>'$$xSchpostCouncil 22'!CP116/'$$xSchpostCouncil 22'!CP$123</f>
        <v>0</v>
      </c>
      <c r="CQ116" s="43">
        <f>'$$xSchpostCouncil 22'!CQ116/'$$xSchpostCouncil 22'!CQ$123</f>
        <v>20</v>
      </c>
      <c r="CR116" s="43">
        <f>'$$xSchpostCouncil 22'!CR116/'$$xSchpostCouncil 22'!CR$123</f>
        <v>0</v>
      </c>
      <c r="CS116" s="6"/>
      <c r="CT116" s="6"/>
      <c r="CU116" s="6"/>
      <c r="CV116" s="43">
        <f>'$$xSchpostCouncil 22'!CV116/'$$xSchpostCouncil 22'!CV$123</f>
        <v>0</v>
      </c>
      <c r="CW116" s="43">
        <f>'$$xSchpostCouncil 22'!CW116/'$$xSchpostCouncil 22'!CW$123</f>
        <v>0</v>
      </c>
      <c r="CX116" s="6">
        <v>0</v>
      </c>
      <c r="CY116" s="6"/>
      <c r="CZ116" s="6"/>
      <c r="DB116" s="43">
        <f>'$$xSchpostCouncil 22'!DB116/'$$xSchpostCouncil 22'!DB$123</f>
        <v>0</v>
      </c>
      <c r="DC116" s="43">
        <f>'$$xSchpostCouncil 22'!DC116/'$$xSchpostCouncil 22'!DC$123</f>
        <v>0</v>
      </c>
      <c r="DF116" s="43">
        <f>'$$xSchpostCouncil 22'!DF116/'$$xSchpostCouncil 22'!DF$123</f>
        <v>0</v>
      </c>
      <c r="DG116" s="43">
        <f>'$$xSchpostCouncil 22'!DG116/'$$xSchpostCouncil 22'!DG$123</f>
        <v>0</v>
      </c>
      <c r="DH116" s="43">
        <f>'$$xSchpostCouncil 22'!DH116/'$$xSchpostCouncil 22'!DH$123</f>
        <v>0</v>
      </c>
      <c r="DI116" s="43">
        <f>'$$xSchpostCouncil 22'!DI116/'$$xSchpostCouncil 22'!DI$123</f>
        <v>0</v>
      </c>
      <c r="DJ116" s="43">
        <f>'$$xSchpostCouncil 22'!DJ116/'$$xSchpostCouncil 22'!DJ$123</f>
        <v>0</v>
      </c>
      <c r="DK116" s="43">
        <f>'$$xSchpostCouncil 22'!DK116/'$$xSchpostCouncil 22'!DK$123</f>
        <v>0</v>
      </c>
      <c r="DL116" s="6">
        <v>2479</v>
      </c>
      <c r="DM116" s="6"/>
      <c r="DN116" s="43">
        <f>'$$xSchpostCouncil 22'!DN116/'$$xSchpostCouncil 22'!DN$123</f>
        <v>0</v>
      </c>
      <c r="DO116" s="6"/>
      <c r="DP116" s="6">
        <v>20350</v>
      </c>
      <c r="DU116" s="6">
        <f>VLOOKUP($A116,[3]Totals!$B$2:$K$119,10,FALSE)</f>
        <v>135082.14000000001</v>
      </c>
      <c r="DV116" s="6">
        <f>VLOOKUP($A116,[3]Totals!$B$2:$K$119,9,FALSE)</f>
        <v>56285</v>
      </c>
    </row>
    <row r="117" spans="1:126" x14ac:dyDescent="0.2">
      <c r="A117" s="3">
        <v>336</v>
      </c>
      <c r="B117" s="2" t="s">
        <v>8</v>
      </c>
      <c r="C117" t="s">
        <v>7</v>
      </c>
      <c r="D117">
        <v>4</v>
      </c>
      <c r="E117" s="1">
        <v>366</v>
      </c>
      <c r="F117" s="4">
        <v>0.42899999999999999</v>
      </c>
      <c r="G117">
        <v>157</v>
      </c>
      <c r="H117" s="43">
        <f>'$$xSchpostCouncil 22'!H117/'$$xSchpostCouncil 22'!H$123</f>
        <v>1</v>
      </c>
      <c r="I117" s="43">
        <f>'$$xSchpostCouncil 22'!I117/'$$xSchpostCouncil 22'!I$123</f>
        <v>0</v>
      </c>
      <c r="J117" s="43">
        <f>'$$xSchpostCouncil 22'!J117/'$$xSchpostCouncil 22'!J$123</f>
        <v>0</v>
      </c>
      <c r="K117" s="43">
        <f>'$$xSchpostCouncil 22'!K117/'$$xSchpostCouncil 22'!K$123</f>
        <v>1</v>
      </c>
      <c r="L117" s="6">
        <v>5274</v>
      </c>
      <c r="M117" s="43">
        <f>'$$xSchpostCouncil 22'!M117/'$$xSchpostCouncil 22'!M$123</f>
        <v>1</v>
      </c>
      <c r="N117" s="43">
        <f>'$$xSchpostCouncil 22'!N117/'$$xSchpostCouncil 22'!N$123</f>
        <v>1</v>
      </c>
      <c r="O117" s="43">
        <f>'$$xSchpostCouncil 22'!O117/'$$xSchpostCouncil 22'!O$123</f>
        <v>2</v>
      </c>
      <c r="P117" s="43">
        <f>'$$xSchpostCouncil 22'!P117/'$$xSchpostCouncil 22'!P$123</f>
        <v>1</v>
      </c>
      <c r="Q117" s="43">
        <f>'$$xSchpostCouncil 22'!Q117/'$$xSchpostCouncil 22'!Q$123</f>
        <v>3</v>
      </c>
      <c r="R117" s="43">
        <f>'$$xSchpostCouncil 22'!R117/'$$xSchpostCouncil 22'!R$123</f>
        <v>0</v>
      </c>
      <c r="S117" s="43">
        <f>'$$xSchpostCouncil 22'!S117/'$$xSchpostCouncil 22'!S$123</f>
        <v>3</v>
      </c>
      <c r="T117" s="43">
        <f>'$$xSchpostCouncil 22'!T117/'$$xSchpostCouncil 22'!T$123</f>
        <v>6</v>
      </c>
      <c r="U117" s="6"/>
      <c r="V117" s="6"/>
      <c r="W117" s="6"/>
      <c r="X117" s="6"/>
      <c r="Y117" s="43">
        <f>'$$xSchpostCouncil 22'!Y117/'$$xSchpostCouncil 22'!Y$123</f>
        <v>0</v>
      </c>
      <c r="Z117" s="43">
        <f>'$$xSchpostCouncil 22'!Z117/'$$xSchpostCouncil 22'!Z$123</f>
        <v>0</v>
      </c>
      <c r="AA117" s="43">
        <f>'$$xSchpostCouncil 22'!AA117/'$$xSchpostCouncil 22'!AA$123</f>
        <v>0</v>
      </c>
      <c r="AB117" s="43">
        <f>'$$xSchpostCouncil 22'!AB117/'$$xSchpostCouncil 22'!AB$123</f>
        <v>0</v>
      </c>
      <c r="AC117" s="6"/>
      <c r="AD117" s="6">
        <v>138216</v>
      </c>
      <c r="AE117" s="43">
        <f>'$$xSchpostCouncil 22'!AE117/'$$xSchpostCouncil 22'!AE$123</f>
        <v>1</v>
      </c>
      <c r="AF117" s="43">
        <f>'$$xSchpostCouncil 22'!AF117/'$$xSchpostCouncil 22'!AF$123</f>
        <v>1</v>
      </c>
      <c r="AG117" s="43">
        <f>'$$xSchpostCouncil 22'!AG117/'$$xSchpostCouncil 22'!AG$123</f>
        <v>7</v>
      </c>
      <c r="AH117" s="43">
        <f>'$$xSchpostCouncil 22'!AH117/'$$xSchpostCouncil 22'!AH$123</f>
        <v>0</v>
      </c>
      <c r="AI117" s="43">
        <f>'$$xSchpostCouncil 22'!AI117/'$$xSchpostCouncil 22'!AI$123</f>
        <v>5</v>
      </c>
      <c r="AJ117" s="43"/>
      <c r="AK117" s="43">
        <f>'$$xSchpostCouncil 22'!AK117/'$$xSchpostCouncil 22'!AK$123</f>
        <v>0</v>
      </c>
      <c r="AL117" s="43">
        <f>'$$xSchpostCouncil 22'!AL117/'$$xSchpostCouncil 22'!AL$123</f>
        <v>0</v>
      </c>
      <c r="AM117" s="6"/>
      <c r="AN117" s="6"/>
      <c r="AO117" s="43">
        <f>'$$xSchpostCouncil 22'!AO117/'$$xSchpostCouncil 22'!AO$123</f>
        <v>2</v>
      </c>
      <c r="AP117" s="43">
        <f>'$$xSchpostCouncil 22'!AP117/'$$xSchpostCouncil 22'!AP$123</f>
        <v>0</v>
      </c>
      <c r="AQ117" s="43">
        <f>'$$xSchpostCouncil 22'!AQ117/'$$xSchpostCouncil 22'!AQ$123</f>
        <v>0</v>
      </c>
      <c r="AR117" s="6"/>
      <c r="AS117" s="6">
        <f>40800-13600</f>
        <v>27200</v>
      </c>
      <c r="AT117" s="6">
        <f>40800-37400</f>
        <v>3400</v>
      </c>
      <c r="AU117" s="6">
        <v>10200</v>
      </c>
      <c r="AV117" s="6"/>
      <c r="AW117" s="6">
        <v>51000</v>
      </c>
      <c r="AX117" s="6"/>
      <c r="AY117" s="6"/>
      <c r="AZ117" s="6">
        <v>165958.29999999999</v>
      </c>
      <c r="BA117" s="6"/>
      <c r="BB117" s="6"/>
      <c r="BC117" s="43">
        <f>'$$xSchpostCouncil 22'!BC117/'$$xSchpostCouncil 22'!BC$123</f>
        <v>0</v>
      </c>
      <c r="BD117" s="43">
        <f>'$$xSchpostCouncil 22'!BD117/'$$xSchpostCouncil 22'!BD$123</f>
        <v>0</v>
      </c>
      <c r="BE117" s="6"/>
      <c r="BF117" s="6"/>
      <c r="BG117" s="6"/>
      <c r="BH117" s="43">
        <f>'$$xSchpostCouncil 22'!BH117/'$$xSchpostCouncil 22'!BH$123</f>
        <v>0</v>
      </c>
      <c r="BI117" s="6"/>
      <c r="BJ117" s="43">
        <f>'$$xSchpostCouncil 22'!BJ117/'$$xSchpostCouncil 22'!BJ$123</f>
        <v>0</v>
      </c>
      <c r="BK117" s="6"/>
      <c r="BL117" s="43">
        <f>'$$xSchpostCouncil 22'!BL117/'$$xSchpostCouncil 22'!BL$123</f>
        <v>0</v>
      </c>
      <c r="BM117" s="6"/>
      <c r="BN117" s="43">
        <f>'$$xSchpostCouncil 22'!BN117/'$$xSchpostCouncil 22'!BN$123</f>
        <v>0</v>
      </c>
      <c r="BO117" s="43">
        <f>'$$xSchpostCouncil 22'!BO117/'$$xSchpostCouncil 22'!BO$123</f>
        <v>0</v>
      </c>
      <c r="BP117" s="6"/>
      <c r="BQ117" s="6"/>
      <c r="BR117" s="6"/>
      <c r="BS117" s="6"/>
      <c r="BT117" s="6"/>
      <c r="BU117" s="43">
        <f>'$$xSchpostCouncil 22'!BU117/'$$xSchpostCouncil 22'!BU$123</f>
        <v>0</v>
      </c>
      <c r="BV117" s="43">
        <f>'$$xSchpostCouncil 22'!BV117/'$$xSchpostCouncil 22'!BV$123</f>
        <v>0</v>
      </c>
      <c r="BW117" s="43">
        <f>'$$xSchpostCouncil 22'!BW117/'$$xSchpostCouncil 22'!BW$123</f>
        <v>0</v>
      </c>
      <c r="BX117" s="6">
        <v>397449</v>
      </c>
      <c r="BY117" s="6"/>
      <c r="BZ117" s="6"/>
      <c r="CA117" s="6"/>
      <c r="CB117" s="6"/>
      <c r="CC117" s="6"/>
      <c r="CD117" s="6"/>
      <c r="CE117" s="6"/>
      <c r="CF117" s="6">
        <v>0</v>
      </c>
      <c r="CI117" s="43">
        <f>'$$xSchpostCouncil 22'!CI117/'$$xSchpostCouncil 22'!CI$123</f>
        <v>1</v>
      </c>
      <c r="CJ117" s="43">
        <f>'$$xSchpostCouncil 22'!CJ117/'$$xSchpostCouncil 22'!CJ$123</f>
        <v>0.89999936114074708</v>
      </c>
      <c r="CK117" s="43">
        <f>'$$xSchpostCouncil 22'!CK117/'$$xSchpostCouncil 22'!CK$123</f>
        <v>1</v>
      </c>
      <c r="CL117" s="43">
        <f>'$$xSchpostCouncil 22'!CL117/'$$xSchpostCouncil 22'!CL$123</f>
        <v>0</v>
      </c>
      <c r="CM117" s="43">
        <f>'$$xSchpostCouncil 22'!CM117/'$$xSchpostCouncil 22'!CM$123</f>
        <v>0</v>
      </c>
      <c r="CN117" s="43">
        <f>'$$xSchpostCouncil 22'!CN117/'$$xSchpostCouncil 22'!CN$123</f>
        <v>0</v>
      </c>
      <c r="CO117" s="43">
        <f>'$$xSchpostCouncil 22'!CO117/'$$xSchpostCouncil 22'!CO$123</f>
        <v>3</v>
      </c>
      <c r="CP117" s="43">
        <f>'$$xSchpostCouncil 22'!CP117/'$$xSchpostCouncil 22'!CP$123</f>
        <v>3</v>
      </c>
      <c r="CQ117" s="43">
        <f>'$$xSchpostCouncil 22'!CQ117/'$$xSchpostCouncil 22'!CQ$123</f>
        <v>14.50000444172019</v>
      </c>
      <c r="CR117" s="43">
        <f>'$$xSchpostCouncil 22'!CR117/'$$xSchpostCouncil 22'!CR$123</f>
        <v>0</v>
      </c>
      <c r="CS117" s="6"/>
      <c r="CT117" s="6"/>
      <c r="CU117" s="6"/>
      <c r="CV117" s="43">
        <f>'$$xSchpostCouncil 22'!CV117/'$$xSchpostCouncil 22'!CV$123</f>
        <v>0</v>
      </c>
      <c r="CW117" s="43">
        <f>'$$xSchpostCouncil 22'!CW117/'$$xSchpostCouncil 22'!CW$123</f>
        <v>0</v>
      </c>
      <c r="CX117" s="6">
        <v>0</v>
      </c>
      <c r="CY117" s="6"/>
      <c r="CZ117" s="6"/>
      <c r="DB117" s="43">
        <f>'$$xSchpostCouncil 22'!DB117/'$$xSchpostCouncil 22'!DB$123</f>
        <v>0</v>
      </c>
      <c r="DC117" s="43">
        <f>'$$xSchpostCouncil 22'!DC117/'$$xSchpostCouncil 22'!DC$123</f>
        <v>0</v>
      </c>
      <c r="DF117" s="43">
        <f>'$$xSchpostCouncil 22'!DF117/'$$xSchpostCouncil 22'!DF$123</f>
        <v>0</v>
      </c>
      <c r="DG117" s="43">
        <f>'$$xSchpostCouncil 22'!DG117/'$$xSchpostCouncil 22'!DG$123</f>
        <v>0</v>
      </c>
      <c r="DH117" s="43">
        <f>'$$xSchpostCouncil 22'!DH117/'$$xSchpostCouncil 22'!DH$123</f>
        <v>0</v>
      </c>
      <c r="DI117" s="43">
        <f>'$$xSchpostCouncil 22'!DI117/'$$xSchpostCouncil 22'!DI$123</f>
        <v>0</v>
      </c>
      <c r="DJ117" s="43">
        <f>'$$xSchpostCouncil 22'!DJ117/'$$xSchpostCouncil 22'!DJ$123</f>
        <v>0</v>
      </c>
      <c r="DK117" s="43">
        <f>'$$xSchpostCouncil 22'!DK117/'$$xSchpostCouncil 22'!DK$123</f>
        <v>0</v>
      </c>
      <c r="DL117" s="6">
        <v>3139</v>
      </c>
      <c r="DM117" s="6"/>
      <c r="DN117" s="43">
        <f>'$$xSchpostCouncil 22'!DN117/'$$xSchpostCouncil 22'!DN$123</f>
        <v>0</v>
      </c>
      <c r="DO117" s="6"/>
      <c r="DP117" s="6">
        <v>14025</v>
      </c>
      <c r="DU117" s="6">
        <f>VLOOKUP($A117,[3]Totals!$B$2:$K$119,10,FALSE)</f>
        <v>151273.14000000001</v>
      </c>
      <c r="DV117" s="6">
        <f>VLOOKUP($A117,[3]Totals!$B$2:$K$119,9,FALSE)</f>
        <v>199407</v>
      </c>
    </row>
    <row r="118" spans="1:126" x14ac:dyDescent="0.2">
      <c r="A118" s="3">
        <v>335</v>
      </c>
      <c r="B118" s="2" t="s">
        <v>6</v>
      </c>
      <c r="C118" t="s">
        <v>4</v>
      </c>
      <c r="D118">
        <v>5</v>
      </c>
      <c r="E118" s="1">
        <v>321</v>
      </c>
      <c r="F118" s="4">
        <v>0.68799999999999994</v>
      </c>
      <c r="G118">
        <v>221</v>
      </c>
      <c r="H118" s="43">
        <f>'$$xSchpostCouncil 22'!H118/'$$xSchpostCouncil 22'!H$123</f>
        <v>1</v>
      </c>
      <c r="I118" s="43">
        <f>'$$xSchpostCouncil 22'!I118/'$$xSchpostCouncil 22'!I$123</f>
        <v>1</v>
      </c>
      <c r="J118" s="43">
        <f>'$$xSchpostCouncil 22'!J118/'$$xSchpostCouncil 22'!J$123</f>
        <v>0</v>
      </c>
      <c r="K118" s="43">
        <f>'$$xSchpostCouncil 22'!K118/'$$xSchpostCouncil 22'!K$123</f>
        <v>1</v>
      </c>
      <c r="L118" s="6">
        <v>5255</v>
      </c>
      <c r="M118" s="43">
        <f>'$$xSchpostCouncil 22'!M118/'$$xSchpostCouncil 22'!M$123</f>
        <v>1</v>
      </c>
      <c r="N118" s="43">
        <f>'$$xSchpostCouncil 22'!N118/'$$xSchpostCouncil 22'!N$123</f>
        <v>1</v>
      </c>
      <c r="O118" s="43">
        <f>'$$xSchpostCouncil 22'!O118/'$$xSchpostCouncil 22'!O$123</f>
        <v>2</v>
      </c>
      <c r="P118" s="43">
        <f>'$$xSchpostCouncil 22'!P118/'$$xSchpostCouncil 22'!P$123</f>
        <v>1</v>
      </c>
      <c r="Q118" s="43">
        <f>'$$xSchpostCouncil 22'!Q118/'$$xSchpostCouncil 22'!Q$123</f>
        <v>2</v>
      </c>
      <c r="R118" s="43">
        <f>'$$xSchpostCouncil 22'!R118/'$$xSchpostCouncil 22'!R$123</f>
        <v>1</v>
      </c>
      <c r="S118" s="43">
        <f>'$$xSchpostCouncil 22'!S118/'$$xSchpostCouncil 22'!S$123</f>
        <v>2</v>
      </c>
      <c r="T118" s="43">
        <f>'$$xSchpostCouncil 22'!T118/'$$xSchpostCouncil 22'!T$123</f>
        <v>5</v>
      </c>
      <c r="U118" s="6"/>
      <c r="V118" s="6"/>
      <c r="W118" s="6"/>
      <c r="X118" s="6"/>
      <c r="Y118" s="43">
        <f>'$$xSchpostCouncil 22'!Y118/'$$xSchpostCouncil 22'!Y$123</f>
        <v>0</v>
      </c>
      <c r="Z118" s="43">
        <f>'$$xSchpostCouncil 22'!Z118/'$$xSchpostCouncil 22'!Z$123</f>
        <v>0</v>
      </c>
      <c r="AA118" s="43">
        <f>'$$xSchpostCouncil 22'!AA118/'$$xSchpostCouncil 22'!AA$123</f>
        <v>0</v>
      </c>
      <c r="AB118" s="43">
        <f>'$$xSchpostCouncil 22'!AB118/'$$xSchpostCouncil 22'!AB$123</f>
        <v>0</v>
      </c>
      <c r="AC118" s="6"/>
      <c r="AD118" s="6">
        <v>139283</v>
      </c>
      <c r="AE118" s="43">
        <f>'$$xSchpostCouncil 22'!AE118/'$$xSchpostCouncil 22'!AE$123</f>
        <v>1</v>
      </c>
      <c r="AF118" s="43">
        <f>'$$xSchpostCouncil 22'!AF118/'$$xSchpostCouncil 22'!AF$123</f>
        <v>1</v>
      </c>
      <c r="AG118" s="43">
        <f>'$$xSchpostCouncil 22'!AG118/'$$xSchpostCouncil 22'!AG$123</f>
        <v>10</v>
      </c>
      <c r="AH118" s="43">
        <f>'$$xSchpostCouncil 22'!AH118/'$$xSchpostCouncil 22'!AH$123</f>
        <v>0</v>
      </c>
      <c r="AI118" s="43">
        <f>'$$xSchpostCouncil 22'!AI118/'$$xSchpostCouncil 22'!AI$123</f>
        <v>3</v>
      </c>
      <c r="AJ118" s="43"/>
      <c r="AK118" s="43">
        <f>'$$xSchpostCouncil 22'!AK118/'$$xSchpostCouncil 22'!AK$123</f>
        <v>0</v>
      </c>
      <c r="AL118" s="43">
        <f>'$$xSchpostCouncil 22'!AL118/'$$xSchpostCouncil 22'!AL$123</f>
        <v>0</v>
      </c>
      <c r="AM118" s="6"/>
      <c r="AN118" s="6"/>
      <c r="AO118" s="43">
        <f>'$$xSchpostCouncil 22'!AO118/'$$xSchpostCouncil 22'!AO$123</f>
        <v>1</v>
      </c>
      <c r="AP118" s="43">
        <f>'$$xSchpostCouncil 22'!AP118/'$$xSchpostCouncil 22'!AP$123</f>
        <v>0</v>
      </c>
      <c r="AQ118" s="43">
        <f>'$$xSchpostCouncil 22'!AQ118/'$$xSchpostCouncil 22'!AQ$123</f>
        <v>0</v>
      </c>
      <c r="AR118" s="6"/>
      <c r="AS118" s="6">
        <f>40800-13600</f>
        <v>27200</v>
      </c>
      <c r="AT118" s="6">
        <f>27200-18700</f>
        <v>8500</v>
      </c>
      <c r="AU118" s="6">
        <v>10200</v>
      </c>
      <c r="AV118" s="6"/>
      <c r="AW118" s="6">
        <v>37400</v>
      </c>
      <c r="AX118" s="6"/>
      <c r="AY118" s="6"/>
      <c r="AZ118" s="6">
        <v>145550.91</v>
      </c>
      <c r="BA118" s="6"/>
      <c r="BB118" s="6"/>
      <c r="BC118" s="43">
        <f>'$$xSchpostCouncil 22'!BC118/'$$xSchpostCouncil 22'!BC$123</f>
        <v>0</v>
      </c>
      <c r="BD118" s="43">
        <f>'$$xSchpostCouncil 22'!BD118/'$$xSchpostCouncil 22'!BD$123</f>
        <v>0</v>
      </c>
      <c r="BE118" s="6"/>
      <c r="BF118" s="6"/>
      <c r="BG118" s="6"/>
      <c r="BH118" s="43">
        <f>'$$xSchpostCouncil 22'!BH118/'$$xSchpostCouncil 22'!BH$123</f>
        <v>0</v>
      </c>
      <c r="BI118" s="6"/>
      <c r="BJ118" s="43">
        <f>'$$xSchpostCouncil 22'!BJ118/'$$xSchpostCouncil 22'!BJ$123</f>
        <v>0</v>
      </c>
      <c r="BK118" s="6"/>
      <c r="BL118" s="43">
        <f>'$$xSchpostCouncil 22'!BL118/'$$xSchpostCouncil 22'!BL$123</f>
        <v>0</v>
      </c>
      <c r="BM118" s="6"/>
      <c r="BN118" s="43">
        <f>'$$xSchpostCouncil 22'!BN118/'$$xSchpostCouncil 22'!BN$123</f>
        <v>0</v>
      </c>
      <c r="BO118" s="43">
        <f>'$$xSchpostCouncil 22'!BO118/'$$xSchpostCouncil 22'!BO$123</f>
        <v>0</v>
      </c>
      <c r="BP118" s="6"/>
      <c r="BQ118" s="6"/>
      <c r="BR118" s="6"/>
      <c r="BS118" s="6"/>
      <c r="BT118" s="6"/>
      <c r="BU118" s="43">
        <f>'$$xSchpostCouncil 22'!BU118/'$$xSchpostCouncil 22'!BU$123</f>
        <v>0</v>
      </c>
      <c r="BV118" s="43">
        <f>'$$xSchpostCouncil 22'!BV118/'$$xSchpostCouncil 22'!BV$123</f>
        <v>0</v>
      </c>
      <c r="BW118" s="43">
        <f>'$$xSchpostCouncil 22'!BW118/'$$xSchpostCouncil 22'!BW$123</f>
        <v>0</v>
      </c>
      <c r="BX118" s="6">
        <v>559465</v>
      </c>
      <c r="BY118" s="6"/>
      <c r="BZ118" s="6"/>
      <c r="CA118" s="6"/>
      <c r="CB118" s="6"/>
      <c r="CC118" s="6">
        <v>87377</v>
      </c>
      <c r="CD118" s="6"/>
      <c r="CE118" s="6"/>
      <c r="CF118" s="6">
        <v>225138</v>
      </c>
      <c r="CI118" s="43">
        <f>'$$xSchpostCouncil 22'!CI118/'$$xSchpostCouncil 22'!CI$123</f>
        <v>1</v>
      </c>
      <c r="CJ118" s="43">
        <f>'$$xSchpostCouncil 22'!CJ118/'$$xSchpostCouncil 22'!CJ$123</f>
        <v>0.30000191657775876</v>
      </c>
      <c r="CK118" s="43">
        <f>'$$xSchpostCouncil 22'!CK118/'$$xSchpostCouncil 22'!CK$123</f>
        <v>1</v>
      </c>
      <c r="CL118" s="43">
        <f>'$$xSchpostCouncil 22'!CL118/'$$xSchpostCouncil 22'!CL$123</f>
        <v>0</v>
      </c>
      <c r="CM118" s="43">
        <f>'$$xSchpostCouncil 22'!CM118/'$$xSchpostCouncil 22'!CM$123</f>
        <v>0</v>
      </c>
      <c r="CN118" s="43">
        <f>'$$xSchpostCouncil 22'!CN118/'$$xSchpostCouncil 22'!CN$123</f>
        <v>0</v>
      </c>
      <c r="CO118" s="43">
        <f>'$$xSchpostCouncil 22'!CO118/'$$xSchpostCouncil 22'!CO$123</f>
        <v>3</v>
      </c>
      <c r="CP118" s="43">
        <f>'$$xSchpostCouncil 22'!CP118/'$$xSchpostCouncil 22'!CP$123</f>
        <v>2</v>
      </c>
      <c r="CQ118" s="43">
        <f>'$$xSchpostCouncil 22'!CQ118/'$$xSchpostCouncil 22'!CQ$123</f>
        <v>13.699997334967886</v>
      </c>
      <c r="CR118" s="43">
        <f>'$$xSchpostCouncil 22'!CR118/'$$xSchpostCouncil 22'!CR$123</f>
        <v>2</v>
      </c>
      <c r="CS118" s="6">
        <v>23000</v>
      </c>
      <c r="CT118" s="6"/>
      <c r="CU118" s="6">
        <v>100000</v>
      </c>
      <c r="CV118" s="43">
        <f>'$$xSchpostCouncil 22'!CV118/'$$xSchpostCouncil 22'!CV$123</f>
        <v>0</v>
      </c>
      <c r="CW118" s="43">
        <f>'$$xSchpostCouncil 22'!CW118/'$$xSchpostCouncil 22'!CW$123</f>
        <v>0</v>
      </c>
      <c r="CX118" s="6">
        <v>0</v>
      </c>
      <c r="CY118" s="6"/>
      <c r="CZ118" s="6"/>
      <c r="DB118" s="43">
        <f>'$$xSchpostCouncil 22'!DB118/'$$xSchpostCouncil 22'!DB$123</f>
        <v>0</v>
      </c>
      <c r="DC118" s="43">
        <f>'$$xSchpostCouncil 22'!DC118/'$$xSchpostCouncil 22'!DC$123</f>
        <v>0</v>
      </c>
      <c r="DF118" s="43">
        <f>'$$xSchpostCouncil 22'!DF118/'$$xSchpostCouncil 22'!DF$123</f>
        <v>0</v>
      </c>
      <c r="DG118" s="43">
        <f>'$$xSchpostCouncil 22'!DG118/'$$xSchpostCouncil 22'!DG$123</f>
        <v>1</v>
      </c>
      <c r="DH118" s="43">
        <f>'$$xSchpostCouncil 22'!DH118/'$$xSchpostCouncil 22'!DH$123</f>
        <v>0</v>
      </c>
      <c r="DI118" s="43">
        <f>'$$xSchpostCouncil 22'!DI118/'$$xSchpostCouncil 22'!DI$123</f>
        <v>0</v>
      </c>
      <c r="DJ118" s="43">
        <f>'$$xSchpostCouncil 22'!DJ118/'$$xSchpostCouncil 22'!DJ$123</f>
        <v>0</v>
      </c>
      <c r="DK118" s="43">
        <f>'$$xSchpostCouncil 22'!DK118/'$$xSchpostCouncil 22'!DK$123</f>
        <v>0</v>
      </c>
      <c r="DL118" s="6">
        <v>4420</v>
      </c>
      <c r="DM118" s="6"/>
      <c r="DN118" s="43">
        <f>'$$xSchpostCouncil 22'!DN118/'$$xSchpostCouncil 22'!DN$123</f>
        <v>0</v>
      </c>
      <c r="DO118" s="6"/>
      <c r="DP118" s="6">
        <v>24050</v>
      </c>
      <c r="DU118" s="6">
        <f>VLOOKUP($A118,[3]Totals!$B$2:$K$119,10,FALSE)</f>
        <v>184030.85</v>
      </c>
      <c r="DV118" s="6">
        <f>VLOOKUP($A118,[3]Totals!$B$2:$K$119,9,FALSE)</f>
        <v>225138</v>
      </c>
    </row>
    <row r="119" spans="1:126" x14ac:dyDescent="0.2">
      <c r="A119" s="3">
        <v>338</v>
      </c>
      <c r="B119" s="2" t="s">
        <v>5</v>
      </c>
      <c r="C119" t="s">
        <v>4</v>
      </c>
      <c r="D119">
        <v>4</v>
      </c>
      <c r="E119" s="1">
        <v>307</v>
      </c>
      <c r="F119" s="4">
        <v>0.56000000000000005</v>
      </c>
      <c r="G119">
        <v>172</v>
      </c>
      <c r="H119" s="43">
        <f>'$$xSchpostCouncil 22'!H119/'$$xSchpostCouncil 22'!H$123</f>
        <v>1</v>
      </c>
      <c r="I119" s="43">
        <f>'$$xSchpostCouncil 22'!I119/'$$xSchpostCouncil 22'!I$123</f>
        <v>0</v>
      </c>
      <c r="J119" s="43">
        <f>'$$xSchpostCouncil 22'!J119/'$$xSchpostCouncil 22'!J$123</f>
        <v>0</v>
      </c>
      <c r="K119" s="43">
        <f>'$$xSchpostCouncil 22'!K119/'$$xSchpostCouncil 22'!K$123</f>
        <v>1</v>
      </c>
      <c r="L119" s="6">
        <v>4422</v>
      </c>
      <c r="M119" s="43">
        <f>'$$xSchpostCouncil 22'!M119/'$$xSchpostCouncil 22'!M$123</f>
        <v>1</v>
      </c>
      <c r="N119" s="43">
        <f>'$$xSchpostCouncil 22'!N119/'$$xSchpostCouncil 22'!N$123</f>
        <v>1</v>
      </c>
      <c r="O119" s="43">
        <f>'$$xSchpostCouncil 22'!O119/'$$xSchpostCouncil 22'!O$123</f>
        <v>2</v>
      </c>
      <c r="P119" s="43">
        <f>'$$xSchpostCouncil 22'!P119/'$$xSchpostCouncil 22'!P$123</f>
        <v>1</v>
      </c>
      <c r="Q119" s="43">
        <f>'$$xSchpostCouncil 22'!Q119/'$$xSchpostCouncil 22'!Q$123</f>
        <v>1</v>
      </c>
      <c r="R119" s="43">
        <f>'$$xSchpostCouncil 22'!R119/'$$xSchpostCouncil 22'!R$123</f>
        <v>2</v>
      </c>
      <c r="S119" s="43">
        <f>'$$xSchpostCouncil 22'!S119/'$$xSchpostCouncil 22'!S$123</f>
        <v>1</v>
      </c>
      <c r="T119" s="43">
        <f>'$$xSchpostCouncil 22'!T119/'$$xSchpostCouncil 22'!T$123</f>
        <v>4</v>
      </c>
      <c r="U119" s="6"/>
      <c r="V119" s="6"/>
      <c r="W119" s="6"/>
      <c r="X119" s="6"/>
      <c r="Y119" s="43">
        <f>'$$xSchpostCouncil 22'!Y119/'$$xSchpostCouncil 22'!Y$123</f>
        <v>0</v>
      </c>
      <c r="Z119" s="43">
        <f>'$$xSchpostCouncil 22'!Z119/'$$xSchpostCouncil 22'!Z$123</f>
        <v>0</v>
      </c>
      <c r="AA119" s="43">
        <f>'$$xSchpostCouncil 22'!AA119/'$$xSchpostCouncil 22'!AA$123</f>
        <v>0</v>
      </c>
      <c r="AB119" s="43">
        <f>'$$xSchpostCouncil 22'!AB119/'$$xSchpostCouncil 22'!AB$123</f>
        <v>0</v>
      </c>
      <c r="AC119" s="6"/>
      <c r="AD119" s="6">
        <v>134749</v>
      </c>
      <c r="AE119" s="43">
        <f>'$$xSchpostCouncil 22'!AE119/'$$xSchpostCouncil 22'!AE$123</f>
        <v>1</v>
      </c>
      <c r="AF119" s="43">
        <f>'$$xSchpostCouncil 22'!AF119/'$$xSchpostCouncil 22'!AF$123</f>
        <v>2</v>
      </c>
      <c r="AG119" s="43">
        <f>'$$xSchpostCouncil 22'!AG119/'$$xSchpostCouncil 22'!AG$123</f>
        <v>11</v>
      </c>
      <c r="AH119" s="43">
        <f>'$$xSchpostCouncil 22'!AH119/'$$xSchpostCouncil 22'!AH$123</f>
        <v>0</v>
      </c>
      <c r="AI119" s="43">
        <f>'$$xSchpostCouncil 22'!AI119/'$$xSchpostCouncil 22'!AI$123</f>
        <v>10</v>
      </c>
      <c r="AJ119" s="43"/>
      <c r="AK119" s="43">
        <f>'$$xSchpostCouncil 22'!AK119/'$$xSchpostCouncil 22'!AK$123</f>
        <v>0</v>
      </c>
      <c r="AL119" s="43">
        <f>'$$xSchpostCouncil 22'!AL119/'$$xSchpostCouncil 22'!AL$123</f>
        <v>0</v>
      </c>
      <c r="AM119" s="6"/>
      <c r="AN119" s="6"/>
      <c r="AO119" s="43">
        <f>'$$xSchpostCouncil 22'!AO119/'$$xSchpostCouncil 22'!AO$123</f>
        <v>4</v>
      </c>
      <c r="AP119" s="43">
        <f>'$$xSchpostCouncil 22'!AP119/'$$xSchpostCouncil 22'!AP$123</f>
        <v>0</v>
      </c>
      <c r="AQ119" s="43">
        <f>'$$xSchpostCouncil 22'!AQ119/'$$xSchpostCouncil 22'!AQ$123</f>
        <v>0</v>
      </c>
      <c r="AR119" s="6"/>
      <c r="AS119" s="6">
        <f>40800-13600</f>
        <v>27200</v>
      </c>
      <c r="AT119" s="6">
        <f>40800-37400</f>
        <v>3400</v>
      </c>
      <c r="AU119" s="6">
        <v>10200</v>
      </c>
      <c r="AV119" s="6"/>
      <c r="AW119" s="6">
        <v>51000</v>
      </c>
      <c r="AX119" s="6"/>
      <c r="AY119" s="6"/>
      <c r="AZ119" s="6">
        <v>97810.36</v>
      </c>
      <c r="BA119" s="6"/>
      <c r="BB119" s="6"/>
      <c r="BC119" s="43">
        <f>'$$xSchpostCouncil 22'!BC119/'$$xSchpostCouncil 22'!BC$123</f>
        <v>0</v>
      </c>
      <c r="BD119" s="43">
        <f>'$$xSchpostCouncil 22'!BD119/'$$xSchpostCouncil 22'!BD$123</f>
        <v>0</v>
      </c>
      <c r="BE119" s="6"/>
      <c r="BF119" s="6"/>
      <c r="BG119" s="6"/>
      <c r="BH119" s="43">
        <f>'$$xSchpostCouncil 22'!BH119/'$$xSchpostCouncil 22'!BH$123</f>
        <v>0</v>
      </c>
      <c r="BI119" s="6"/>
      <c r="BJ119" s="43">
        <f>'$$xSchpostCouncil 22'!BJ119/'$$xSchpostCouncil 22'!BJ$123</f>
        <v>0</v>
      </c>
      <c r="BK119" s="6"/>
      <c r="BL119" s="43">
        <f>'$$xSchpostCouncil 22'!BL119/'$$xSchpostCouncil 22'!BL$123</f>
        <v>0</v>
      </c>
      <c r="BM119" s="6"/>
      <c r="BN119" s="43">
        <f>'$$xSchpostCouncil 22'!BN119/'$$xSchpostCouncil 22'!BN$123</f>
        <v>0</v>
      </c>
      <c r="BO119" s="43">
        <f>'$$xSchpostCouncil 22'!BO119/'$$xSchpostCouncil 22'!BO$123</f>
        <v>0</v>
      </c>
      <c r="BP119" s="6"/>
      <c r="BQ119" s="6"/>
      <c r="BR119" s="6"/>
      <c r="BS119" s="6"/>
      <c r="BT119" s="6"/>
      <c r="BU119" s="43">
        <f>'$$xSchpostCouncil 22'!BU119/'$$xSchpostCouncil 22'!BU$123</f>
        <v>0</v>
      </c>
      <c r="BV119" s="43">
        <f>'$$xSchpostCouncil 22'!BV119/'$$xSchpostCouncil 22'!BV$123</f>
        <v>0</v>
      </c>
      <c r="BW119" s="43">
        <f>'$$xSchpostCouncil 22'!BW119/'$$xSchpostCouncil 22'!BW$123</f>
        <v>0</v>
      </c>
      <c r="BX119" s="6">
        <v>435421</v>
      </c>
      <c r="BY119" s="6"/>
      <c r="BZ119" s="6"/>
      <c r="CA119" s="6"/>
      <c r="CB119" s="6"/>
      <c r="CC119" s="6">
        <v>827811</v>
      </c>
      <c r="CD119" s="6"/>
      <c r="CE119" s="6"/>
      <c r="CF119" s="6">
        <v>0</v>
      </c>
      <c r="CI119" s="43">
        <f>'$$xSchpostCouncil 22'!CI119/'$$xSchpostCouncil 22'!CI$123</f>
        <v>1</v>
      </c>
      <c r="CJ119" s="43">
        <f>'$$xSchpostCouncil 22'!CJ119/'$$xSchpostCouncil 22'!CJ$123</f>
        <v>0.79999872228149416</v>
      </c>
      <c r="CK119" s="43">
        <f>'$$xSchpostCouncil 22'!CK119/'$$xSchpostCouncil 22'!CK$123</f>
        <v>1</v>
      </c>
      <c r="CL119" s="43">
        <f>'$$xSchpostCouncil 22'!CL119/'$$xSchpostCouncil 22'!CL$123</f>
        <v>0</v>
      </c>
      <c r="CM119" s="43">
        <f>'$$xSchpostCouncil 22'!CM119/'$$xSchpostCouncil 22'!CM$123</f>
        <v>0</v>
      </c>
      <c r="CN119" s="43">
        <f>'$$xSchpostCouncil 22'!CN119/'$$xSchpostCouncil 22'!CN$123</f>
        <v>0</v>
      </c>
      <c r="CO119" s="43">
        <f>'$$xSchpostCouncil 22'!CO119/'$$xSchpostCouncil 22'!CO$123</f>
        <v>3</v>
      </c>
      <c r="CP119" s="43">
        <f>'$$xSchpostCouncil 22'!CP119/'$$xSchpostCouncil 22'!CP$123</f>
        <v>2</v>
      </c>
      <c r="CQ119" s="43">
        <f>'$$xSchpostCouncil 22'!CQ119/'$$xSchpostCouncil 22'!CQ$123</f>
        <v>12</v>
      </c>
      <c r="CR119" s="43">
        <f>'$$xSchpostCouncil 22'!CR119/'$$xSchpostCouncil 22'!CR$123</f>
        <v>0</v>
      </c>
      <c r="CS119" s="6"/>
      <c r="CT119" s="6"/>
      <c r="CU119" s="6"/>
      <c r="CV119" s="43">
        <f>'$$xSchpostCouncil 22'!CV119/'$$xSchpostCouncil 22'!CV$123</f>
        <v>0</v>
      </c>
      <c r="CW119" s="43">
        <f>'$$xSchpostCouncil 22'!CW119/'$$xSchpostCouncil 22'!CW$123</f>
        <v>0</v>
      </c>
      <c r="CX119" s="6">
        <v>0</v>
      </c>
      <c r="CY119" s="6"/>
      <c r="CZ119" s="6"/>
      <c r="DB119" s="43">
        <f>'$$xSchpostCouncil 22'!DB119/'$$xSchpostCouncil 22'!DB$123</f>
        <v>0</v>
      </c>
      <c r="DC119" s="43">
        <f>'$$xSchpostCouncil 22'!DC119/'$$xSchpostCouncil 22'!DC$123</f>
        <v>0</v>
      </c>
      <c r="DF119" s="43">
        <f>'$$xSchpostCouncil 22'!DF119/'$$xSchpostCouncil 22'!DF$123</f>
        <v>0</v>
      </c>
      <c r="DG119" s="43">
        <f>'$$xSchpostCouncil 22'!DG119/'$$xSchpostCouncil 22'!DG$123</f>
        <v>0</v>
      </c>
      <c r="DH119" s="43">
        <f>'$$xSchpostCouncil 22'!DH119/'$$xSchpostCouncil 22'!DH$123</f>
        <v>0</v>
      </c>
      <c r="DI119" s="43">
        <f>'$$xSchpostCouncil 22'!DI119/'$$xSchpostCouncil 22'!DI$123</f>
        <v>0</v>
      </c>
      <c r="DJ119" s="43">
        <f>'$$xSchpostCouncil 22'!DJ119/'$$xSchpostCouncil 22'!DJ$123</f>
        <v>0</v>
      </c>
      <c r="DK119" s="43">
        <f>'$$xSchpostCouncil 22'!DK119/'$$xSchpostCouncil 22'!DK$123</f>
        <v>0</v>
      </c>
      <c r="DL119" s="6">
        <v>3442</v>
      </c>
      <c r="DM119" s="6"/>
      <c r="DN119" s="43">
        <f>'$$xSchpostCouncil 22'!DN119/'$$xSchpostCouncil 22'!DN$123</f>
        <v>0</v>
      </c>
      <c r="DO119" s="6"/>
      <c r="DP119" s="6">
        <v>6650</v>
      </c>
      <c r="DU119" s="6">
        <f>VLOOKUP($A119,[3]Totals!$B$2:$K$119,10,FALSE)</f>
        <v>143150.71</v>
      </c>
      <c r="DV119" s="6">
        <f>VLOOKUP($A119,[3]Totals!$B$2:$K$119,9,FALSE)</f>
        <v>331661</v>
      </c>
    </row>
    <row r="120" spans="1:126" x14ac:dyDescent="0.2">
      <c r="A120" s="3">
        <v>463</v>
      </c>
      <c r="B120" s="2" t="s">
        <v>3</v>
      </c>
      <c r="C120" t="s">
        <v>1</v>
      </c>
      <c r="D120">
        <v>3</v>
      </c>
      <c r="E120" s="1">
        <v>2010</v>
      </c>
      <c r="F120" s="4">
        <v>0.23200000000000001</v>
      </c>
      <c r="G120">
        <v>466</v>
      </c>
      <c r="H120" s="43">
        <f>'$$xSchpostCouncil 22'!H120/'$$xSchpostCouncil 22'!H$123</f>
        <v>1</v>
      </c>
      <c r="I120" s="43">
        <f>'$$xSchpostCouncil 22'!I120/'$$xSchpostCouncil 22'!I$123</f>
        <v>0</v>
      </c>
      <c r="J120" s="43">
        <f>'$$xSchpostCouncil 22'!J120/'$$xSchpostCouncil 22'!J$123</f>
        <v>8.5</v>
      </c>
      <c r="K120" s="43">
        <f>'$$xSchpostCouncil 22'!K120/'$$xSchpostCouncil 22'!K$123</f>
        <v>1</v>
      </c>
      <c r="L120" s="6">
        <v>31242</v>
      </c>
      <c r="M120" s="43">
        <f>'$$xSchpostCouncil 22'!M120/'$$xSchpostCouncil 22'!M$123</f>
        <v>1</v>
      </c>
      <c r="N120" s="43">
        <f>'$$xSchpostCouncil 22'!N120/'$$xSchpostCouncil 22'!N$123</f>
        <v>1</v>
      </c>
      <c r="O120" s="43">
        <f>'$$xSchpostCouncil 22'!O120/'$$xSchpostCouncil 22'!O$123</f>
        <v>12</v>
      </c>
      <c r="P120" s="43">
        <f>'$$xSchpostCouncil 22'!P120/'$$xSchpostCouncil 22'!P$123</f>
        <v>1</v>
      </c>
      <c r="Q120" s="43">
        <f>'$$xSchpostCouncil 22'!Q120/'$$xSchpostCouncil 22'!Q$123</f>
        <v>0</v>
      </c>
      <c r="R120" s="43">
        <f>'$$xSchpostCouncil 22'!R120/'$$xSchpostCouncil 22'!R$123</f>
        <v>0</v>
      </c>
      <c r="S120" s="43">
        <f>'$$xSchpostCouncil 22'!S120/'$$xSchpostCouncil 22'!S$123</f>
        <v>0</v>
      </c>
      <c r="T120" s="43">
        <f>'$$xSchpostCouncil 22'!T120/'$$xSchpostCouncil 22'!T$123</f>
        <v>0</v>
      </c>
      <c r="U120" s="6"/>
      <c r="V120" s="6"/>
      <c r="W120" s="6"/>
      <c r="X120" s="6"/>
      <c r="Y120" s="43">
        <f>'$$xSchpostCouncil 22'!Y120/'$$xSchpostCouncil 22'!Y$123</f>
        <v>0</v>
      </c>
      <c r="Z120" s="43">
        <f>'$$xSchpostCouncil 22'!Z120/'$$xSchpostCouncil 22'!Z$123</f>
        <v>0</v>
      </c>
      <c r="AA120" s="43">
        <f>'$$xSchpostCouncil 22'!AA120/'$$xSchpostCouncil 22'!AA$123</f>
        <v>2</v>
      </c>
      <c r="AB120" s="43">
        <f>'$$xSchpostCouncil 22'!AB120/'$$xSchpostCouncil 22'!AB$123</f>
        <v>0</v>
      </c>
      <c r="AC120" s="6"/>
      <c r="AD120" s="6">
        <v>749148</v>
      </c>
      <c r="AE120" s="43">
        <f>'$$xSchpostCouncil 22'!AE120/'$$xSchpostCouncil 22'!AE$123</f>
        <v>2</v>
      </c>
      <c r="AF120" s="43">
        <f>'$$xSchpostCouncil 22'!AF120/'$$xSchpostCouncil 22'!AF$123</f>
        <v>4</v>
      </c>
      <c r="AG120" s="43">
        <f>'$$xSchpostCouncil 22'!AG120/'$$xSchpostCouncil 22'!AG$123</f>
        <v>25</v>
      </c>
      <c r="AH120" s="43">
        <f>'$$xSchpostCouncil 22'!AH120/'$$xSchpostCouncil 22'!AH$123</f>
        <v>0</v>
      </c>
      <c r="AI120" s="43">
        <f>'$$xSchpostCouncil 22'!AI120/'$$xSchpostCouncil 22'!AI$123</f>
        <v>8</v>
      </c>
      <c r="AJ120" s="43"/>
      <c r="AK120" s="43">
        <f>'$$xSchpostCouncil 22'!AK120/'$$xSchpostCouncil 22'!AK$123</f>
        <v>0</v>
      </c>
      <c r="AL120" s="43">
        <f>'$$xSchpostCouncil 22'!AL120/'$$xSchpostCouncil 22'!AL$123</f>
        <v>1</v>
      </c>
      <c r="AM120" s="6"/>
      <c r="AN120" s="6"/>
      <c r="AO120" s="43">
        <f>'$$xSchpostCouncil 22'!AO120/'$$xSchpostCouncil 22'!AO$123</f>
        <v>7</v>
      </c>
      <c r="AP120" s="43">
        <f>'$$xSchpostCouncil 22'!AP120/'$$xSchpostCouncil 22'!AP$123</f>
        <v>0</v>
      </c>
      <c r="AQ120" s="43">
        <f>'$$xSchpostCouncil 22'!AQ120/'$$xSchpostCouncil 22'!AQ$123</f>
        <v>0</v>
      </c>
      <c r="AR120" s="6"/>
      <c r="AS120" s="6"/>
      <c r="AT120" s="6"/>
      <c r="AU120" s="6"/>
      <c r="AV120" s="6">
        <v>85000</v>
      </c>
      <c r="AW120" s="6">
        <v>0</v>
      </c>
      <c r="AX120" s="6"/>
      <c r="AY120" s="6"/>
      <c r="AZ120" s="6">
        <v>0</v>
      </c>
      <c r="BA120" s="6"/>
      <c r="BB120" s="6">
        <v>50250</v>
      </c>
      <c r="BC120" s="43">
        <f>'$$xSchpostCouncil 22'!BC120/'$$xSchpostCouncil 22'!BC$123</f>
        <v>0</v>
      </c>
      <c r="BD120" s="43">
        <f>'$$xSchpostCouncil 22'!BD120/'$$xSchpostCouncil 22'!BD$123</f>
        <v>0</v>
      </c>
      <c r="BE120" s="6"/>
      <c r="BF120" s="6"/>
      <c r="BG120" s="6"/>
      <c r="BH120" s="43">
        <f>'$$xSchpostCouncil 22'!BH120/'$$xSchpostCouncil 22'!BH$123</f>
        <v>0</v>
      </c>
      <c r="BI120" s="6"/>
      <c r="BJ120" s="43">
        <f>'$$xSchpostCouncil 22'!BJ120/'$$xSchpostCouncil 22'!BJ$123</f>
        <v>0</v>
      </c>
      <c r="BK120" s="6"/>
      <c r="BL120" s="43">
        <f>'$$xSchpostCouncil 22'!BL120/'$$xSchpostCouncil 22'!BL$123</f>
        <v>0</v>
      </c>
      <c r="BM120" s="6"/>
      <c r="BN120" s="43">
        <f>'$$xSchpostCouncil 22'!BN120/'$$xSchpostCouncil 22'!BN$123</f>
        <v>0</v>
      </c>
      <c r="BO120" s="43">
        <f>'$$xSchpostCouncil 22'!BO120/'$$xSchpostCouncil 22'!BO$123</f>
        <v>0</v>
      </c>
      <c r="BP120" s="6"/>
      <c r="BQ120" s="6"/>
      <c r="BR120" s="6"/>
      <c r="BS120" s="6"/>
      <c r="BT120" s="6"/>
      <c r="BU120" s="43">
        <f>'$$xSchpostCouncil 22'!BU120/'$$xSchpostCouncil 22'!BU$123</f>
        <v>2.6315789473684209E-2</v>
      </c>
      <c r="BV120" s="43">
        <f>'$$xSchpostCouncil 22'!BV120/'$$xSchpostCouncil 22'!BV$123</f>
        <v>1</v>
      </c>
      <c r="BW120" s="43">
        <f>'$$xSchpostCouncil 22'!BW120/'$$xSchpostCouncil 22'!BW$123</f>
        <v>0</v>
      </c>
      <c r="BX120" s="6">
        <v>1310736</v>
      </c>
      <c r="BY120" s="6"/>
      <c r="BZ120" s="6"/>
      <c r="CA120" s="6"/>
      <c r="CB120" s="6"/>
      <c r="CC120" s="6"/>
      <c r="CD120" s="6"/>
      <c r="CE120" s="6"/>
      <c r="CF120" s="6">
        <v>112569</v>
      </c>
      <c r="CI120" s="43">
        <f>'$$xSchpostCouncil 22'!CI120/'$$xSchpostCouncil 22'!CI$123</f>
        <v>1</v>
      </c>
      <c r="CJ120" s="43">
        <f>'$$xSchpostCouncil 22'!CJ120/'$$xSchpostCouncil 22'!CJ$123</f>
        <v>6.6999980834222415</v>
      </c>
      <c r="CK120" s="43">
        <f>'$$xSchpostCouncil 22'!CK120/'$$xSchpostCouncil 22'!CK$123</f>
        <v>1</v>
      </c>
      <c r="CL120" s="43">
        <f>'$$xSchpostCouncil 22'!CL120/'$$xSchpostCouncil 22'!CL$123</f>
        <v>5</v>
      </c>
      <c r="CM120" s="43">
        <f>'$$xSchpostCouncil 22'!CM120/'$$xSchpostCouncil 22'!CM$123</f>
        <v>1</v>
      </c>
      <c r="CN120" s="43">
        <f>'$$xSchpostCouncil 22'!CN120/'$$xSchpostCouncil 22'!CN$123</f>
        <v>1</v>
      </c>
      <c r="CO120" s="43">
        <f>'$$xSchpostCouncil 22'!CO120/'$$xSchpostCouncil 22'!CO$123</f>
        <v>0</v>
      </c>
      <c r="CP120" s="43">
        <f>'$$xSchpostCouncil 22'!CP120/'$$xSchpostCouncil 22'!CP$123</f>
        <v>0</v>
      </c>
      <c r="CQ120" s="43">
        <f>'$$xSchpostCouncil 22'!CQ120/'$$xSchpostCouncil 22'!CQ$123</f>
        <v>83.75</v>
      </c>
      <c r="CR120" s="43">
        <f>'$$xSchpostCouncil 22'!CR120/'$$xSchpostCouncil 22'!CR$123</f>
        <v>0</v>
      </c>
      <c r="CS120" s="6"/>
      <c r="CT120" s="6"/>
      <c r="CU120" s="6"/>
      <c r="CV120" s="43">
        <f>'$$xSchpostCouncil 22'!CV120/'$$xSchpostCouncil 22'!CV$123</f>
        <v>1</v>
      </c>
      <c r="CW120" s="43">
        <f>'$$xSchpostCouncil 22'!CW120/'$$xSchpostCouncil 22'!CW$123</f>
        <v>0</v>
      </c>
      <c r="CX120" s="6">
        <v>24884</v>
      </c>
      <c r="CY120" s="6"/>
      <c r="CZ120" s="6"/>
      <c r="DB120" s="43">
        <f>'$$xSchpostCouncil 22'!DB120/'$$xSchpostCouncil 22'!DB$123</f>
        <v>0</v>
      </c>
      <c r="DC120" s="43">
        <f>'$$xSchpostCouncil 22'!DC120/'$$xSchpostCouncil 22'!DC$123</f>
        <v>1</v>
      </c>
      <c r="DF120" s="43">
        <f>'$$xSchpostCouncil 22'!DF120/'$$xSchpostCouncil 22'!DF$123</f>
        <v>0</v>
      </c>
      <c r="DG120" s="43">
        <f>'$$xSchpostCouncil 22'!DG120/'$$xSchpostCouncil 22'!DG$123</f>
        <v>0</v>
      </c>
      <c r="DH120" s="43">
        <f>'$$xSchpostCouncil 22'!DH120/'$$xSchpostCouncil 22'!DH$123</f>
        <v>14.25</v>
      </c>
      <c r="DI120" s="43">
        <f>'$$xSchpostCouncil 22'!DI120/'$$xSchpostCouncil 22'!DI$123</f>
        <v>0</v>
      </c>
      <c r="DJ120" s="43">
        <f>'$$xSchpostCouncil 22'!DJ120/'$$xSchpostCouncil 22'!DJ$123</f>
        <v>0</v>
      </c>
      <c r="DK120" s="43">
        <f>'$$xSchpostCouncil 22'!DK120/'$$xSchpostCouncil 22'!DK$123</f>
        <v>0</v>
      </c>
      <c r="DL120" s="6"/>
      <c r="DM120" s="6"/>
      <c r="DN120" s="43">
        <f>'$$xSchpostCouncil 22'!DN120/'$$xSchpostCouncil 22'!DN$123</f>
        <v>1</v>
      </c>
      <c r="DO120" s="6"/>
      <c r="DP120" s="6">
        <v>38025</v>
      </c>
      <c r="DU120" s="6">
        <f>VLOOKUP($A120,[3]Totals!$B$2:$K$119,10,FALSE)</f>
        <v>210982.97</v>
      </c>
      <c r="DV120" s="6">
        <f>VLOOKUP($A120,[3]Totals!$B$2:$K$119,9,FALSE)</f>
        <v>213621</v>
      </c>
    </row>
    <row r="121" spans="1:126" x14ac:dyDescent="0.2">
      <c r="A121" s="3">
        <v>464</v>
      </c>
      <c r="B121" s="2" t="s">
        <v>2</v>
      </c>
      <c r="C121" t="s">
        <v>1</v>
      </c>
      <c r="D121">
        <v>7</v>
      </c>
      <c r="E121" s="1">
        <v>487</v>
      </c>
      <c r="F121" s="4">
        <v>0.70399999999999996</v>
      </c>
      <c r="G121">
        <v>343</v>
      </c>
      <c r="H121" s="43">
        <f>'$$xSchpostCouncil 22'!H121/'$$xSchpostCouncil 22'!H$123</f>
        <v>1</v>
      </c>
      <c r="I121" s="43">
        <f>'$$xSchpostCouncil 22'!I121/'$$xSchpostCouncil 22'!I$123</f>
        <v>0</v>
      </c>
      <c r="J121" s="43">
        <f>'$$xSchpostCouncil 22'!J121/'$$xSchpostCouncil 22'!J$123</f>
        <v>2</v>
      </c>
      <c r="K121" s="43">
        <f>'$$xSchpostCouncil 22'!K121/'$$xSchpostCouncil 22'!K$123</f>
        <v>1</v>
      </c>
      <c r="L121" s="6">
        <v>7624</v>
      </c>
      <c r="M121" s="43">
        <f>'$$xSchpostCouncil 22'!M121/'$$xSchpostCouncil 22'!M$123</f>
        <v>1</v>
      </c>
      <c r="N121" s="43">
        <f>'$$xSchpostCouncil 22'!N121/'$$xSchpostCouncil 22'!N$123</f>
        <v>1</v>
      </c>
      <c r="O121" s="43">
        <f>'$$xSchpostCouncil 22'!O121/'$$xSchpostCouncil 22'!O$123</f>
        <v>4</v>
      </c>
      <c r="P121" s="43">
        <f>'$$xSchpostCouncil 22'!P121/'$$xSchpostCouncil 22'!P$123</f>
        <v>1</v>
      </c>
      <c r="Q121" s="43">
        <f>'$$xSchpostCouncil 22'!Q121/'$$xSchpostCouncil 22'!Q$123</f>
        <v>0</v>
      </c>
      <c r="R121" s="43">
        <f>'$$xSchpostCouncil 22'!R121/'$$xSchpostCouncil 22'!R$123</f>
        <v>0</v>
      </c>
      <c r="S121" s="43">
        <f>'$$xSchpostCouncil 22'!S121/'$$xSchpostCouncil 22'!S$123</f>
        <v>0</v>
      </c>
      <c r="T121" s="43">
        <f>'$$xSchpostCouncil 22'!T121/'$$xSchpostCouncil 22'!T$123</f>
        <v>0</v>
      </c>
      <c r="U121" s="6"/>
      <c r="V121" s="6"/>
      <c r="W121" s="6"/>
      <c r="X121" s="6"/>
      <c r="Y121" s="43">
        <f>'$$xSchpostCouncil 22'!Y121/'$$xSchpostCouncil 22'!Y$123</f>
        <v>0</v>
      </c>
      <c r="Z121" s="43">
        <f>'$$xSchpostCouncil 22'!Z121/'$$xSchpostCouncil 22'!Z$123</f>
        <v>0</v>
      </c>
      <c r="AA121" s="43">
        <f>'$$xSchpostCouncil 22'!AA121/'$$xSchpostCouncil 22'!AA$123</f>
        <v>2</v>
      </c>
      <c r="AB121" s="43">
        <f>'$$xSchpostCouncil 22'!AB121/'$$xSchpostCouncil 22'!AB$123</f>
        <v>0</v>
      </c>
      <c r="AC121" s="6"/>
      <c r="AD121" s="6">
        <v>225098</v>
      </c>
      <c r="AE121" s="43">
        <f>'$$xSchpostCouncil 22'!AE121/'$$xSchpostCouncil 22'!AE$123</f>
        <v>1</v>
      </c>
      <c r="AF121" s="43">
        <f>'$$xSchpostCouncil 22'!AF121/'$$xSchpostCouncil 22'!AF$123</f>
        <v>3</v>
      </c>
      <c r="AG121" s="43">
        <f>'$$xSchpostCouncil 22'!AG121/'$$xSchpostCouncil 22'!AG$123</f>
        <v>14</v>
      </c>
      <c r="AH121" s="43">
        <f>'$$xSchpostCouncil 22'!AH121/'$$xSchpostCouncil 22'!AH$123</f>
        <v>0</v>
      </c>
      <c r="AI121" s="43">
        <f>'$$xSchpostCouncil 22'!AI121/'$$xSchpostCouncil 22'!AI$123</f>
        <v>6</v>
      </c>
      <c r="AJ121" s="43"/>
      <c r="AK121" s="43">
        <f>'$$xSchpostCouncil 22'!AK121/'$$xSchpostCouncil 22'!AK$123</f>
        <v>1</v>
      </c>
      <c r="AL121" s="43">
        <f>'$$xSchpostCouncil 22'!AL121/'$$xSchpostCouncil 22'!AL$123</f>
        <v>0</v>
      </c>
      <c r="AM121" s="6"/>
      <c r="AN121" s="6"/>
      <c r="AO121" s="43">
        <f>'$$xSchpostCouncil 22'!AO121/'$$xSchpostCouncil 22'!AO$123</f>
        <v>0</v>
      </c>
      <c r="AP121" s="43">
        <f>'$$xSchpostCouncil 22'!AP121/'$$xSchpostCouncil 22'!AP$123</f>
        <v>0.17999626895504089</v>
      </c>
      <c r="AQ121" s="43">
        <f>'$$xSchpostCouncil 22'!AQ121/'$$xSchpostCouncil 22'!AQ$123</f>
        <v>0</v>
      </c>
      <c r="AR121" s="6"/>
      <c r="AS121" s="6"/>
      <c r="AT121" s="6"/>
      <c r="AU121" s="6"/>
      <c r="AV121" s="6">
        <v>60000</v>
      </c>
      <c r="AW121" s="6">
        <v>0</v>
      </c>
      <c r="AX121" s="6"/>
      <c r="AY121" s="6"/>
      <c r="AZ121" s="6">
        <v>438999.85</v>
      </c>
      <c r="BA121" s="6"/>
      <c r="BB121" s="6"/>
      <c r="BC121" s="43">
        <f>'$$xSchpostCouncil 22'!BC121/'$$xSchpostCouncil 22'!BC$123</f>
        <v>0</v>
      </c>
      <c r="BD121" s="43">
        <f>'$$xSchpostCouncil 22'!BD121/'$$xSchpostCouncil 22'!BD$123</f>
        <v>1</v>
      </c>
      <c r="BE121" s="6">
        <v>26216</v>
      </c>
      <c r="BF121" s="6">
        <v>9000</v>
      </c>
      <c r="BG121" s="6">
        <v>30000</v>
      </c>
      <c r="BH121" s="43">
        <f>'$$xSchpostCouncil 22'!BH121/'$$xSchpostCouncil 22'!BH$123</f>
        <v>0</v>
      </c>
      <c r="BI121" s="6"/>
      <c r="BJ121" s="43">
        <f>'$$xSchpostCouncil 22'!BJ121/'$$xSchpostCouncil 22'!BJ$123</f>
        <v>0</v>
      </c>
      <c r="BK121" s="6"/>
      <c r="BL121" s="43">
        <f>'$$xSchpostCouncil 22'!BL121/'$$xSchpostCouncil 22'!BL$123</f>
        <v>0</v>
      </c>
      <c r="BM121" s="6"/>
      <c r="BN121" s="43">
        <f>'$$xSchpostCouncil 22'!BN121/'$$xSchpostCouncil 22'!BN$123</f>
        <v>1</v>
      </c>
      <c r="BO121" s="43">
        <f>'$$xSchpostCouncil 22'!BO121/'$$xSchpostCouncil 22'!BO$123</f>
        <v>0</v>
      </c>
      <c r="BP121" s="6">
        <v>113946</v>
      </c>
      <c r="BQ121" s="6">
        <v>5000</v>
      </c>
      <c r="BR121" s="6"/>
      <c r="BS121" s="6"/>
      <c r="BT121" s="6"/>
      <c r="BU121" s="43">
        <f>'$$xSchpostCouncil 22'!BU121/'$$xSchpostCouncil 22'!BU$123</f>
        <v>7.8947368421052627E-2</v>
      </c>
      <c r="BV121" s="43">
        <f>'$$xSchpostCouncil 22'!BV121/'$$xSchpostCouncil 22'!BV$123</f>
        <v>2</v>
      </c>
      <c r="BW121" s="43">
        <f>'$$xSchpostCouncil 22'!BW121/'$$xSchpostCouncil 22'!BW$123</f>
        <v>0</v>
      </c>
      <c r="BX121" s="6">
        <v>962703</v>
      </c>
      <c r="BY121" s="6"/>
      <c r="BZ121" s="6"/>
      <c r="CA121" s="6"/>
      <c r="CB121" s="6"/>
      <c r="CC121" s="6">
        <v>961895</v>
      </c>
      <c r="CD121" s="6"/>
      <c r="CE121" s="6"/>
      <c r="CF121" s="6">
        <v>281423</v>
      </c>
      <c r="CI121" s="43">
        <f>'$$xSchpostCouncil 22'!CI121/'$$xSchpostCouncil 22'!CI$123</f>
        <v>1</v>
      </c>
      <c r="CJ121" s="43">
        <f>'$$xSchpostCouncil 22'!CJ121/'$$xSchpostCouncil 22'!CJ$123</f>
        <v>1.5999974445629883</v>
      </c>
      <c r="CK121" s="43">
        <f>'$$xSchpostCouncil 22'!CK121/'$$xSchpostCouncil 22'!CK$123</f>
        <v>1</v>
      </c>
      <c r="CL121" s="43">
        <f>'$$xSchpostCouncil 22'!CL121/'$$xSchpostCouncil 22'!CL$123</f>
        <v>1.2000039495250696</v>
      </c>
      <c r="CM121" s="43">
        <f>'$$xSchpostCouncil 22'!CM121/'$$xSchpostCouncil 22'!CM$123</f>
        <v>1</v>
      </c>
      <c r="CN121" s="43">
        <f>'$$xSchpostCouncil 22'!CN121/'$$xSchpostCouncil 22'!CN$123</f>
        <v>1</v>
      </c>
      <c r="CO121" s="43">
        <f>'$$xSchpostCouncil 22'!CO121/'$$xSchpostCouncil 22'!CO$123</f>
        <v>0</v>
      </c>
      <c r="CP121" s="43">
        <f>'$$xSchpostCouncil 22'!CP121/'$$xSchpostCouncil 22'!CP$123</f>
        <v>0</v>
      </c>
      <c r="CQ121" s="43">
        <f>'$$xSchpostCouncil 22'!CQ121/'$$xSchpostCouncil 22'!CQ$123</f>
        <v>20.291664268137769</v>
      </c>
      <c r="CR121" s="43">
        <f>'$$xSchpostCouncil 22'!CR121/'$$xSchpostCouncil 22'!CR$123</f>
        <v>0</v>
      </c>
      <c r="CS121" s="6"/>
      <c r="CT121" s="6"/>
      <c r="CU121" s="6"/>
      <c r="CV121" s="43">
        <f>'$$xSchpostCouncil 22'!CV121/'$$xSchpostCouncil 22'!CV$123</f>
        <v>1</v>
      </c>
      <c r="CW121" s="43">
        <f>'$$xSchpostCouncil 22'!CW121/'$$xSchpostCouncil 22'!CW$123</f>
        <v>0</v>
      </c>
      <c r="CX121" s="6">
        <v>74648.709999999992</v>
      </c>
      <c r="CY121" s="6">
        <v>75000</v>
      </c>
      <c r="CZ121" s="6"/>
      <c r="DB121" s="43">
        <f>'$$xSchpostCouncil 22'!DB121/'$$xSchpostCouncil 22'!DB$123</f>
        <v>0</v>
      </c>
      <c r="DC121" s="43">
        <f>'$$xSchpostCouncil 22'!DC121/'$$xSchpostCouncil 22'!DC$123</f>
        <v>0</v>
      </c>
      <c r="DF121" s="43">
        <f>'$$xSchpostCouncil 22'!DF121/'$$xSchpostCouncil 22'!DF$123</f>
        <v>0</v>
      </c>
      <c r="DG121" s="43">
        <f>'$$xSchpostCouncil 22'!DG121/'$$xSchpostCouncil 22'!DG$123</f>
        <v>0</v>
      </c>
      <c r="DH121" s="43">
        <f>'$$xSchpostCouncil 22'!DH121/'$$xSchpostCouncil 22'!DH$123</f>
        <v>8.5383333333333304</v>
      </c>
      <c r="DI121" s="43">
        <f>'$$xSchpostCouncil 22'!DI121/'$$xSchpostCouncil 22'!DI$123</f>
        <v>0</v>
      </c>
      <c r="DJ121" s="43">
        <f>'$$xSchpostCouncil 22'!DJ121/'$$xSchpostCouncil 22'!DJ$123</f>
        <v>0</v>
      </c>
      <c r="DK121" s="43">
        <f>'$$xSchpostCouncil 22'!DK121/'$$xSchpostCouncil 22'!DK$123</f>
        <v>0</v>
      </c>
      <c r="DL121" s="6">
        <v>6852</v>
      </c>
      <c r="DM121" s="6"/>
      <c r="DN121" s="43">
        <f>'$$xSchpostCouncil 22'!DN121/'$$xSchpostCouncil 22'!DN$123</f>
        <v>1</v>
      </c>
      <c r="DO121" s="6"/>
      <c r="DP121" s="6">
        <v>20800</v>
      </c>
      <c r="DU121" s="6">
        <f>VLOOKUP($A121,[3]Totals!$B$2:$K$119,10,FALSE)</f>
        <v>228622.26</v>
      </c>
      <c r="DV121" s="6">
        <f>VLOOKUP($A121,[3]Totals!$B$2:$K$119,9,FALSE)</f>
        <v>56285</v>
      </c>
    </row>
    <row r="122" spans="1:126" x14ac:dyDescent="0.2">
      <c r="B122" s="2" t="s">
        <v>0</v>
      </c>
      <c r="E122" s="1">
        <f>SUM(E6:E121)</f>
        <v>51410</v>
      </c>
      <c r="F122" s="4">
        <f>G122/E122</f>
        <v>0.44936782727095897</v>
      </c>
      <c r="G122" s="1">
        <f t="shared" ref="G122:T122" si="0">SUM(G6:G121)</f>
        <v>23102</v>
      </c>
      <c r="H122" s="43">
        <f t="shared" si="0"/>
        <v>114.00000512093078</v>
      </c>
      <c r="I122" s="43">
        <f t="shared" si="0"/>
        <v>28.900007995096342</v>
      </c>
      <c r="J122" s="43">
        <f t="shared" si="0"/>
        <v>54.5</v>
      </c>
      <c r="K122" s="43">
        <f t="shared" si="0"/>
        <v>116</v>
      </c>
      <c r="L122" s="6">
        <f t="shared" si="0"/>
        <v>818315</v>
      </c>
      <c r="M122" s="43">
        <f t="shared" si="0"/>
        <v>117</v>
      </c>
      <c r="N122" s="43">
        <f t="shared" si="0"/>
        <v>116</v>
      </c>
      <c r="O122" s="43">
        <f t="shared" si="0"/>
        <v>334</v>
      </c>
      <c r="P122" s="43">
        <f t="shared" si="0"/>
        <v>117.00001741154313</v>
      </c>
      <c r="Q122" s="43">
        <f t="shared" si="0"/>
        <v>135</v>
      </c>
      <c r="R122" s="43">
        <f t="shared" si="0"/>
        <v>80</v>
      </c>
      <c r="S122" s="43">
        <f t="shared" si="0"/>
        <v>164</v>
      </c>
      <c r="T122" s="43">
        <f t="shared" si="0"/>
        <v>378</v>
      </c>
      <c r="U122" s="6">
        <f t="shared" ref="U122:X122" si="1">SUM(U6:U121)</f>
        <v>0</v>
      </c>
      <c r="V122" s="6">
        <f t="shared" si="1"/>
        <v>0</v>
      </c>
      <c r="W122" s="6">
        <f t="shared" si="1"/>
        <v>0</v>
      </c>
      <c r="X122" s="6">
        <f t="shared" si="1"/>
        <v>0</v>
      </c>
      <c r="Y122" s="43">
        <f t="shared" ref="Y122:AI122" si="2">SUM(Y6:Y121)</f>
        <v>0</v>
      </c>
      <c r="Z122" s="43">
        <f t="shared" si="2"/>
        <v>0</v>
      </c>
      <c r="AA122" s="43">
        <f t="shared" si="2"/>
        <v>20</v>
      </c>
      <c r="AB122" s="43">
        <f t="shared" si="2"/>
        <v>2</v>
      </c>
      <c r="AC122" s="6">
        <f t="shared" si="2"/>
        <v>0</v>
      </c>
      <c r="AD122" s="6">
        <f t="shared" si="2"/>
        <v>19991325</v>
      </c>
      <c r="AE122" s="43">
        <f t="shared" si="2"/>
        <v>124</v>
      </c>
      <c r="AF122" s="43">
        <f t="shared" si="2"/>
        <v>211</v>
      </c>
      <c r="AG122" s="43">
        <f t="shared" si="2"/>
        <v>919</v>
      </c>
      <c r="AH122" s="43">
        <f t="shared" si="2"/>
        <v>0</v>
      </c>
      <c r="AI122" s="43">
        <f t="shared" si="2"/>
        <v>460</v>
      </c>
      <c r="AJ122" s="43"/>
      <c r="AK122" s="43">
        <f>SUM(AK6:AK121)</f>
        <v>36</v>
      </c>
      <c r="AL122" s="43">
        <f>SUM(AL6:AL121)</f>
        <v>8</v>
      </c>
      <c r="AM122" s="6"/>
      <c r="AN122" s="6"/>
      <c r="AO122" s="43">
        <f>SUM(AO6:AO121)</f>
        <v>374</v>
      </c>
      <c r="AP122" s="43">
        <f>SUM(AP6:AP121)</f>
        <v>7.4099352397196352</v>
      </c>
      <c r="AQ122" s="43">
        <f>SUM(AQ6:AQ121)</f>
        <v>7</v>
      </c>
      <c r="AR122" s="6"/>
      <c r="AS122" s="6">
        <f>SUM(AS6:AS121)</f>
        <v>1145700</v>
      </c>
      <c r="AT122" s="6">
        <f>SUM(AT6:AT121)</f>
        <v>896100</v>
      </c>
      <c r="AU122" s="6">
        <f>SUM(AU6:AU121)</f>
        <v>510000</v>
      </c>
      <c r="AV122" s="6">
        <f>SUM(AV6:AV121)</f>
        <v>1030000</v>
      </c>
      <c r="AW122" s="6">
        <f>SUM(AW6:AW121)</f>
        <v>2628200</v>
      </c>
      <c r="AX122" s="6"/>
      <c r="AY122" s="6"/>
      <c r="AZ122" s="6">
        <f>SUM(AZ6:AZ121)</f>
        <v>17617243.829999994</v>
      </c>
      <c r="BA122" s="6"/>
      <c r="BB122" s="6">
        <f t="shared" ref="BB122:BJ122" si="3">SUM(BB6:BB121)</f>
        <v>388925</v>
      </c>
      <c r="BC122" s="43">
        <f t="shared" si="3"/>
        <v>7</v>
      </c>
      <c r="BD122" s="43">
        <f t="shared" si="3"/>
        <v>9</v>
      </c>
      <c r="BE122" s="6">
        <f t="shared" si="3"/>
        <v>159214</v>
      </c>
      <c r="BF122" s="6">
        <f t="shared" si="3"/>
        <v>157730</v>
      </c>
      <c r="BG122" s="6">
        <f t="shared" si="3"/>
        <v>320000</v>
      </c>
      <c r="BH122" s="43">
        <f t="shared" si="3"/>
        <v>7</v>
      </c>
      <c r="BI122" s="6">
        <f t="shared" si="3"/>
        <v>167908</v>
      </c>
      <c r="BJ122" s="43">
        <f t="shared" si="3"/>
        <v>3</v>
      </c>
      <c r="BK122" s="6"/>
      <c r="BL122" s="43">
        <f>SUM(BL6:BL121)</f>
        <v>0.5</v>
      </c>
      <c r="BM122" s="6"/>
      <c r="BN122" s="43">
        <f t="shared" ref="BN122:BS122" si="4">SUM(BN6:BN121)</f>
        <v>6</v>
      </c>
      <c r="BO122" s="43">
        <f t="shared" si="4"/>
        <v>1</v>
      </c>
      <c r="BP122" s="6">
        <f t="shared" si="4"/>
        <v>640313</v>
      </c>
      <c r="BQ122" s="6">
        <f t="shared" si="4"/>
        <v>30000</v>
      </c>
      <c r="BR122" s="6">
        <f t="shared" si="4"/>
        <v>221744</v>
      </c>
      <c r="BS122" s="6">
        <f t="shared" si="4"/>
        <v>8816740</v>
      </c>
      <c r="BT122" s="6"/>
      <c r="BU122" s="43">
        <f>SUM(BU6:BU121)</f>
        <v>0.49999999999999989</v>
      </c>
      <c r="BV122" s="43">
        <f>SUM(BV6:BV121)</f>
        <v>7</v>
      </c>
      <c r="BW122" s="43">
        <f>SUM(BW6:BW121)</f>
        <v>1</v>
      </c>
      <c r="BX122" s="6">
        <f>SUM(BX6:BX121)</f>
        <v>60242262.339999996</v>
      </c>
      <c r="BY122" s="6"/>
      <c r="BZ122" s="6"/>
      <c r="CA122" s="6"/>
      <c r="CB122" s="6"/>
      <c r="CC122" s="6">
        <f t="shared" ref="CC122" si="5">SUM(CC6:CC121)</f>
        <v>12317769</v>
      </c>
      <c r="CD122" s="6">
        <f>SUM(CD6:CD121)</f>
        <v>752872</v>
      </c>
      <c r="CE122" s="6">
        <f>SUM(CE6:CE121)</f>
        <v>3868461</v>
      </c>
      <c r="CF122" s="6">
        <f>SUM(CF6:CF121)</f>
        <v>8506680</v>
      </c>
      <c r="CI122" s="43">
        <f t="shared" ref="CI122:CY122" si="6">SUM(CI6:CI121)</f>
        <v>117</v>
      </c>
      <c r="CJ122" s="43">
        <f t="shared" si="6"/>
        <v>134.36000357761188</v>
      </c>
      <c r="CK122" s="43">
        <f t="shared" si="6"/>
        <v>103.0001430473487</v>
      </c>
      <c r="CL122" s="43">
        <f t="shared" si="6"/>
        <v>85.800094788601655</v>
      </c>
      <c r="CM122" s="43">
        <f t="shared" si="6"/>
        <v>18</v>
      </c>
      <c r="CN122" s="43">
        <f t="shared" si="6"/>
        <v>24</v>
      </c>
      <c r="CO122" s="43">
        <f t="shared" si="6"/>
        <v>298.50013769332594</v>
      </c>
      <c r="CP122" s="43">
        <f t="shared" si="6"/>
        <v>215</v>
      </c>
      <c r="CQ122" s="43">
        <f t="shared" si="6"/>
        <v>2126.1983410619273</v>
      </c>
      <c r="CR122" s="43">
        <f t="shared" si="6"/>
        <v>61</v>
      </c>
      <c r="CS122" s="6">
        <f t="shared" si="6"/>
        <v>575000</v>
      </c>
      <c r="CT122" s="6">
        <f t="shared" si="6"/>
        <v>30000</v>
      </c>
      <c r="CU122" s="6">
        <f t="shared" si="6"/>
        <v>2500000</v>
      </c>
      <c r="CV122" s="43">
        <f t="shared" si="6"/>
        <v>16</v>
      </c>
      <c r="CW122" s="43">
        <f t="shared" si="6"/>
        <v>7</v>
      </c>
      <c r="CX122" s="6">
        <f t="shared" si="6"/>
        <v>290395.91000000003</v>
      </c>
      <c r="CY122" s="6">
        <f t="shared" si="6"/>
        <v>1050000</v>
      </c>
      <c r="CZ122" s="6"/>
      <c r="DB122" s="43">
        <f>SUM(DB6:DB121)</f>
        <v>43</v>
      </c>
      <c r="DC122" s="43">
        <f>SUM(DC6:DC121)</f>
        <v>14</v>
      </c>
      <c r="DF122" s="43">
        <f t="shared" ref="DF122:DP122" si="7">SUM(DF6:DF121)</f>
        <v>2</v>
      </c>
      <c r="DG122" s="43">
        <f t="shared" si="7"/>
        <v>20.49999555827981</v>
      </c>
      <c r="DH122" s="43">
        <f t="shared" si="7"/>
        <v>100.57166666666666</v>
      </c>
      <c r="DI122" s="43">
        <f t="shared" si="7"/>
        <v>9</v>
      </c>
      <c r="DJ122" s="43">
        <f t="shared" si="7"/>
        <v>3</v>
      </c>
      <c r="DK122" s="43">
        <f t="shared" si="7"/>
        <v>1</v>
      </c>
      <c r="DL122" s="6">
        <f t="shared" si="7"/>
        <v>558156</v>
      </c>
      <c r="DM122" s="6">
        <f t="shared" si="7"/>
        <v>13200</v>
      </c>
      <c r="DN122" s="43">
        <f t="shared" si="7"/>
        <v>15</v>
      </c>
      <c r="DO122" s="6">
        <f t="shared" si="7"/>
        <v>0</v>
      </c>
      <c r="DP122" s="6">
        <f t="shared" si="7"/>
        <v>2480359</v>
      </c>
      <c r="DU122" s="6">
        <f>SUM(DU6:DU121)</f>
        <v>18622971.65000001</v>
      </c>
      <c r="DV122" s="6">
        <f>SUM(DV6:DV121)</f>
        <v>20760864.300000001</v>
      </c>
    </row>
    <row r="123" spans="1:126" x14ac:dyDescent="0.2">
      <c r="F123" s="4"/>
      <c r="G123" s="1"/>
      <c r="H123" s="6">
        <v>195277</v>
      </c>
      <c r="I123" s="6">
        <v>112569</v>
      </c>
      <c r="J123" s="6">
        <v>127248</v>
      </c>
      <c r="K123" s="6">
        <v>67876</v>
      </c>
      <c r="L123" s="6"/>
      <c r="M123" s="6">
        <v>78183</v>
      </c>
      <c r="N123" s="6">
        <v>60194</v>
      </c>
      <c r="O123" s="6">
        <v>50595</v>
      </c>
      <c r="P123" s="6">
        <v>112569</v>
      </c>
      <c r="Q123" s="6">
        <v>112569</v>
      </c>
      <c r="R123" s="6">
        <v>112569</v>
      </c>
      <c r="S123" s="6">
        <v>112569</v>
      </c>
      <c r="T123" s="6">
        <v>37488</v>
      </c>
      <c r="U123" s="6"/>
      <c r="V123" s="6"/>
      <c r="W123" s="6"/>
      <c r="X123" s="6"/>
      <c r="Y123" s="6">
        <v>112569</v>
      </c>
      <c r="Z123" s="6">
        <v>112569</v>
      </c>
      <c r="AA123" s="6">
        <v>112569</v>
      </c>
      <c r="AB123" s="6">
        <v>112569</v>
      </c>
      <c r="AC123" s="6"/>
      <c r="AD123" s="6"/>
      <c r="AE123" s="6">
        <v>112569</v>
      </c>
      <c r="AF123" s="6">
        <v>112569</v>
      </c>
      <c r="AG123" s="6">
        <v>112569</v>
      </c>
      <c r="AH123" s="6">
        <v>112569</v>
      </c>
      <c r="AI123" s="6">
        <v>37488</v>
      </c>
      <c r="AJ123" s="6"/>
      <c r="AK123" s="6">
        <v>55015</v>
      </c>
      <c r="AL123" s="6">
        <v>117087</v>
      </c>
      <c r="AM123" s="6"/>
      <c r="AN123" s="6"/>
      <c r="AO123" s="6">
        <v>112569</v>
      </c>
      <c r="AP123" s="6">
        <v>112569</v>
      </c>
      <c r="AQ123" s="6">
        <v>37488</v>
      </c>
      <c r="AR123" s="6"/>
      <c r="AS123" s="6"/>
      <c r="AT123" s="6"/>
      <c r="AU123" s="6"/>
      <c r="AV123" s="6"/>
      <c r="AW123" s="6"/>
      <c r="AX123" s="6"/>
      <c r="AY123" s="6"/>
      <c r="AZ123" s="6"/>
      <c r="BA123" s="6"/>
      <c r="BB123" s="6"/>
      <c r="BC123" s="6">
        <v>112569</v>
      </c>
      <c r="BD123" s="6">
        <v>156529</v>
      </c>
      <c r="BE123" s="6"/>
      <c r="BF123" s="6"/>
      <c r="BG123" s="6"/>
      <c r="BH123" s="6">
        <v>117087</v>
      </c>
      <c r="BI123" s="6"/>
      <c r="BJ123" s="6">
        <v>117087</v>
      </c>
      <c r="BK123" s="6"/>
      <c r="BL123" s="6">
        <f>SUM(BL7:BL122)</f>
        <v>1</v>
      </c>
      <c r="BM123" s="6"/>
      <c r="BN123" s="6">
        <v>112569</v>
      </c>
      <c r="BO123" s="6">
        <v>69396</v>
      </c>
      <c r="BP123" s="6"/>
      <c r="BQ123" s="6"/>
      <c r="BR123" s="6"/>
      <c r="BS123" s="6"/>
      <c r="BT123" s="6"/>
      <c r="BU123" s="6">
        <f>SUM(BU7:BU122)</f>
        <v>0.99999999999999978</v>
      </c>
      <c r="BV123" s="6">
        <v>117087</v>
      </c>
      <c r="BW123" s="6">
        <v>125502</v>
      </c>
      <c r="BX123" s="6"/>
      <c r="BY123" s="6"/>
      <c r="BZ123" s="6"/>
      <c r="CA123" s="6"/>
      <c r="CB123" s="6"/>
      <c r="CC123" s="6"/>
      <c r="CD123" s="6"/>
      <c r="CE123" s="6"/>
      <c r="CF123" s="6"/>
      <c r="CI123" s="6">
        <v>112569</v>
      </c>
      <c r="CJ123" s="6">
        <v>156529</v>
      </c>
      <c r="CK123" s="6">
        <v>90879</v>
      </c>
      <c r="CL123" s="6">
        <v>50639</v>
      </c>
      <c r="CM123" s="6">
        <v>56854</v>
      </c>
      <c r="CN123" s="6">
        <v>69509</v>
      </c>
      <c r="CO123" s="6">
        <v>112569</v>
      </c>
      <c r="CP123" s="6">
        <v>37488</v>
      </c>
      <c r="CQ123" s="6">
        <v>112569</v>
      </c>
      <c r="CR123" s="6">
        <v>112569</v>
      </c>
      <c r="CS123" s="6"/>
      <c r="CT123" s="6"/>
      <c r="CU123" s="6"/>
      <c r="CV123" s="6">
        <v>117087</v>
      </c>
      <c r="CW123" s="6">
        <v>112569</v>
      </c>
      <c r="CX123" s="6"/>
      <c r="CY123" s="6"/>
      <c r="CZ123" s="6"/>
      <c r="DB123" s="6">
        <v>112569</v>
      </c>
      <c r="DC123" s="6">
        <v>127248</v>
      </c>
      <c r="DF123" s="6">
        <v>69509</v>
      </c>
      <c r="DG123" s="6"/>
      <c r="DH123" s="6">
        <v>112569</v>
      </c>
      <c r="DI123" s="6">
        <v>156529</v>
      </c>
      <c r="DJ123" s="6">
        <v>112569</v>
      </c>
      <c r="DK123" s="6">
        <v>112569</v>
      </c>
      <c r="DL123" s="6"/>
      <c r="DM123" s="6"/>
      <c r="DN123" s="6">
        <v>117087</v>
      </c>
      <c r="DO123" s="6"/>
      <c r="DP123" s="6"/>
      <c r="DU123" s="6"/>
      <c r="DV123" s="6"/>
    </row>
    <row r="124" spans="1:126" x14ac:dyDescent="0.2">
      <c r="F124" s="4"/>
      <c r="G124" s="1"/>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I124" s="6"/>
      <c r="CJ124" s="6"/>
      <c r="CK124" s="6"/>
      <c r="CL124" s="6"/>
      <c r="CM124" s="6"/>
      <c r="CN124" s="6"/>
      <c r="CO124" s="6"/>
      <c r="CP124" s="6"/>
      <c r="CQ124" s="6"/>
      <c r="CR124" s="6"/>
      <c r="CS124" s="6"/>
      <c r="CT124" s="6"/>
      <c r="CU124" s="6"/>
      <c r="CV124" s="6"/>
      <c r="CW124" s="6"/>
      <c r="CX124" s="6"/>
      <c r="CY124" s="6"/>
      <c r="CZ124" s="6"/>
      <c r="DB124" s="6"/>
      <c r="DC124" s="6"/>
      <c r="DF124" s="6"/>
      <c r="DG124" s="6"/>
      <c r="DH124" s="6"/>
      <c r="DI124" s="6"/>
      <c r="DJ124" s="6"/>
      <c r="DK124" s="6"/>
      <c r="DL124" s="6"/>
      <c r="DM124" s="6"/>
      <c r="DN124" s="6"/>
      <c r="DO124" s="6"/>
      <c r="DP124" s="6"/>
      <c r="DU124" s="6"/>
      <c r="DV124" s="6">
        <f>DU122+DV122</f>
        <v>39383835.95000001</v>
      </c>
    </row>
    <row r="125" spans="1:126" x14ac:dyDescent="0.2">
      <c r="F125" s="4"/>
      <c r="G125" s="1"/>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4"/>
      <c r="BY125" s="4"/>
      <c r="BZ125" s="6"/>
      <c r="CA125" s="6"/>
      <c r="CB125" s="6"/>
      <c r="CC125" s="6"/>
      <c r="CD125" s="6"/>
      <c r="CE125" s="6"/>
      <c r="CF125" s="6"/>
      <c r="CI125" s="6"/>
      <c r="CJ125" s="6"/>
      <c r="CK125" s="6"/>
      <c r="CL125" s="6"/>
      <c r="CM125" s="6"/>
      <c r="CN125" s="6"/>
      <c r="CO125" s="6"/>
      <c r="CP125" s="6"/>
      <c r="CQ125" s="6"/>
      <c r="CR125" s="6"/>
      <c r="CS125" s="6"/>
      <c r="CT125" s="6"/>
      <c r="CU125" s="6"/>
      <c r="CV125" s="6"/>
      <c r="CW125" s="6"/>
      <c r="CX125" s="6"/>
      <c r="CY125" s="6"/>
      <c r="CZ125" s="6"/>
      <c r="DB125" s="6"/>
      <c r="DC125" s="6"/>
      <c r="DF125" s="6"/>
      <c r="DG125" s="6"/>
      <c r="DH125" s="6"/>
      <c r="DI125" s="6"/>
      <c r="DJ125" s="6"/>
      <c r="DK125" s="6"/>
      <c r="DL125" s="6"/>
      <c r="DM125" s="6"/>
      <c r="DN125" s="6"/>
      <c r="DO125" s="6"/>
      <c r="DP125" s="6"/>
      <c r="DU125" s="6"/>
      <c r="DV125" s="6"/>
    </row>
    <row r="126" spans="1:126" x14ac:dyDescent="0.2">
      <c r="F126" s="4"/>
      <c r="G126" s="1"/>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f>SUM(AS122:AU122)</f>
        <v>2551800</v>
      </c>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4"/>
      <c r="BY126" s="4"/>
      <c r="BZ126" s="6"/>
      <c r="CA126" s="6"/>
      <c r="CB126" s="6"/>
      <c r="CC126" s="6"/>
      <c r="CD126" s="6"/>
      <c r="CE126" s="6"/>
      <c r="CF126" s="6"/>
      <c r="CI126" s="6"/>
      <c r="CJ126" s="6"/>
      <c r="CK126" s="6"/>
      <c r="CL126" s="6"/>
      <c r="CM126" s="6"/>
      <c r="CN126" s="6"/>
      <c r="CO126" s="6"/>
      <c r="CP126" s="6"/>
      <c r="CQ126" s="6"/>
      <c r="CR126" s="6"/>
      <c r="CS126" s="6"/>
      <c r="CT126" s="6"/>
      <c r="CU126" s="6"/>
      <c r="CV126" s="6"/>
      <c r="CW126" s="6"/>
      <c r="CX126" s="6"/>
      <c r="CY126" s="6"/>
      <c r="CZ126" s="6"/>
      <c r="DB126" s="6"/>
      <c r="DC126" s="6"/>
      <c r="DF126" s="6"/>
      <c r="DG126" s="6"/>
      <c r="DH126" s="6"/>
      <c r="DI126" s="6"/>
      <c r="DJ126" s="6"/>
      <c r="DK126" s="6"/>
      <c r="DL126" s="6"/>
      <c r="DM126" s="6"/>
      <c r="DN126" s="6"/>
      <c r="DO126" s="6"/>
      <c r="DP126" s="6"/>
      <c r="DU126" s="6"/>
      <c r="DV126" s="6"/>
    </row>
    <row r="127" spans="1:126" x14ac:dyDescent="0.2">
      <c r="F127" s="4"/>
      <c r="G127" s="1"/>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I127" s="6"/>
      <c r="CJ127" s="6"/>
      <c r="CK127" s="6"/>
      <c r="CL127" s="6"/>
      <c r="CM127" s="6"/>
      <c r="CN127" s="6"/>
      <c r="CO127" s="6"/>
      <c r="CP127" s="6"/>
      <c r="CQ127" s="6"/>
      <c r="CR127" s="6"/>
      <c r="CS127" s="6"/>
      <c r="CT127" s="6"/>
      <c r="CU127" s="6"/>
      <c r="CV127" s="6"/>
      <c r="CW127" s="6"/>
      <c r="CX127" s="6"/>
      <c r="CY127" s="6"/>
      <c r="CZ127" s="6"/>
      <c r="DB127" s="6"/>
      <c r="DC127" s="6"/>
      <c r="DF127" s="6"/>
      <c r="DG127" s="6"/>
      <c r="DH127" s="6"/>
      <c r="DI127" s="6"/>
      <c r="DJ127" s="6"/>
      <c r="DK127" s="6"/>
      <c r="DL127" s="6"/>
      <c r="DM127" s="6"/>
      <c r="DN127" s="6"/>
      <c r="DO127" s="6"/>
      <c r="DP127" s="6"/>
      <c r="DU127" s="6"/>
      <c r="DV127" s="6"/>
    </row>
    <row r="128" spans="1:126" x14ac:dyDescent="0.2">
      <c r="BX128" s="6"/>
      <c r="BY128" s="6"/>
      <c r="CF128" s="6"/>
    </row>
    <row r="129" spans="52:126" x14ac:dyDescent="0.2">
      <c r="AZ129" s="5"/>
      <c r="BA129" s="5"/>
      <c r="BS129" s="5"/>
      <c r="BX129" s="4"/>
      <c r="BY129" s="4"/>
      <c r="BZ129" s="5"/>
      <c r="CA129" s="5"/>
      <c r="CB129" s="5"/>
      <c r="CC129" s="5"/>
      <c r="CD129" s="5"/>
      <c r="CE129" s="5"/>
      <c r="CF129" s="4"/>
      <c r="CS129" s="5"/>
      <c r="CT129" s="5"/>
      <c r="DU129" s="5"/>
      <c r="DV129" s="5"/>
    </row>
  </sheetData>
  <autoFilter ref="A3:CB126" xr:uid="{68F45D66-9B57-4323-A5D6-CEF5184804A8}"/>
  <pageMargins left="0.7" right="0.7" top="0.75" bottom="0.75" header="0.3" footer="0.3"/>
  <pageSetup orientation="portrait" horizontalDpi="0" verticalDpi="0" r:id="rId1"/>
  <ignoredErrors>
    <ignoredError sqref="AT118 F122" 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E55FA-78D2-4ED0-B3F1-A079513064D4}">
  <dimension ref="A1:DV129"/>
  <sheetViews>
    <sheetView workbookViewId="0"/>
  </sheetViews>
  <sheetFormatPr defaultRowHeight="12.75" x14ac:dyDescent="0.2"/>
  <cols>
    <col min="1" max="1" width="9.33203125" style="3"/>
    <col min="2" max="2" width="26" style="2" customWidth="1"/>
    <col min="3" max="3" width="6.6640625" customWidth="1"/>
    <col min="4" max="4" width="7.1640625" customWidth="1"/>
    <col min="5" max="5" width="9.5" style="1" customWidth="1"/>
    <col min="6" max="6" width="8.33203125" customWidth="1"/>
    <col min="7" max="7" width="8.6640625" customWidth="1"/>
    <col min="8" max="10" width="14.6640625" customWidth="1"/>
    <col min="11" max="11" width="12" customWidth="1"/>
    <col min="12" max="12" width="14.6640625" customWidth="1"/>
    <col min="13" max="13" width="12.33203125" customWidth="1"/>
    <col min="14" max="14" width="14.6640625" customWidth="1"/>
    <col min="15" max="15" width="14" customWidth="1"/>
    <col min="16" max="20" width="14.6640625" customWidth="1"/>
    <col min="21" max="21" width="11.83203125" customWidth="1"/>
    <col min="22" max="22" width="12.5" customWidth="1"/>
    <col min="23" max="24" width="11.33203125" customWidth="1"/>
    <col min="25" max="25" width="11.5" customWidth="1"/>
    <col min="26" max="26" width="12.5" customWidth="1"/>
    <col min="27" max="39" width="14.6640625" customWidth="1"/>
    <col min="40" max="40" width="12.5" customWidth="1"/>
    <col min="41" max="44" width="14.6640625" customWidth="1"/>
    <col min="45" max="45" width="13" customWidth="1"/>
    <col min="46" max="46" width="12.6640625" customWidth="1"/>
    <col min="47" max="47" width="11" customWidth="1"/>
    <col min="48" max="84" width="14.6640625" customWidth="1"/>
    <col min="85" max="85" width="14.5" customWidth="1"/>
    <col min="87" max="88" width="14.6640625" customWidth="1"/>
    <col min="89" max="89" width="12.1640625" customWidth="1"/>
    <col min="90" max="91" width="12" customWidth="1"/>
    <col min="92" max="93" width="14.6640625" customWidth="1"/>
    <col min="94" max="94" width="12.6640625" customWidth="1"/>
    <col min="95" max="104" width="14.6640625" customWidth="1"/>
    <col min="106" max="107" width="14.6640625" customWidth="1"/>
    <col min="110" max="120" width="14.6640625" customWidth="1"/>
    <col min="125" max="126" width="14.6640625" customWidth="1"/>
  </cols>
  <sheetData>
    <row r="1" spans="1:126" x14ac:dyDescent="0.2">
      <c r="H1" t="s">
        <v>247</v>
      </c>
      <c r="I1" t="s">
        <v>247</v>
      </c>
      <c r="J1" t="s">
        <v>247</v>
      </c>
      <c r="K1" t="s">
        <v>248</v>
      </c>
      <c r="L1" t="s">
        <v>248</v>
      </c>
      <c r="M1" t="s">
        <v>247</v>
      </c>
      <c r="N1" t="s">
        <v>247</v>
      </c>
      <c r="O1" t="s">
        <v>247</v>
      </c>
      <c r="P1" t="s">
        <v>247</v>
      </c>
      <c r="Q1" t="s">
        <v>247</v>
      </c>
      <c r="R1" t="s">
        <v>247</v>
      </c>
      <c r="S1" t="s">
        <v>247</v>
      </c>
      <c r="T1" t="s">
        <v>247</v>
      </c>
      <c r="U1" t="s">
        <v>250</v>
      </c>
      <c r="V1" t="s">
        <v>250</v>
      </c>
      <c r="W1" t="s">
        <v>250</v>
      </c>
      <c r="X1" t="s">
        <v>250</v>
      </c>
      <c r="Y1" t="s">
        <v>248</v>
      </c>
      <c r="AA1" t="s">
        <v>248</v>
      </c>
      <c r="AB1" t="s">
        <v>248</v>
      </c>
      <c r="AC1" t="s">
        <v>250</v>
      </c>
      <c r="AD1" t="s">
        <v>248</v>
      </c>
      <c r="AE1" t="s">
        <v>247</v>
      </c>
      <c r="AF1" t="s">
        <v>247</v>
      </c>
      <c r="AG1" t="s">
        <v>247</v>
      </c>
      <c r="AH1" t="s">
        <v>247</v>
      </c>
      <c r="AI1" t="s">
        <v>256</v>
      </c>
      <c r="AK1" t="s">
        <v>247</v>
      </c>
      <c r="AL1" t="s">
        <v>247</v>
      </c>
      <c r="AM1" t="s">
        <v>250</v>
      </c>
      <c r="AN1" t="s">
        <v>250</v>
      </c>
      <c r="AO1" t="s">
        <v>247</v>
      </c>
      <c r="AP1" t="s">
        <v>247</v>
      </c>
      <c r="AQ1" t="s">
        <v>247</v>
      </c>
      <c r="AR1" t="s">
        <v>257</v>
      </c>
      <c r="AS1" t="s">
        <v>248</v>
      </c>
      <c r="AT1" t="s">
        <v>248</v>
      </c>
      <c r="AU1" t="s">
        <v>248</v>
      </c>
      <c r="AV1" t="s">
        <v>248</v>
      </c>
      <c r="AW1" t="s">
        <v>248</v>
      </c>
      <c r="AZ1" t="s">
        <v>260</v>
      </c>
      <c r="BA1" t="s">
        <v>260</v>
      </c>
      <c r="BB1" t="s">
        <v>260</v>
      </c>
      <c r="BC1" t="s">
        <v>260</v>
      </c>
      <c r="BD1" t="s">
        <v>260</v>
      </c>
      <c r="BE1" t="s">
        <v>260</v>
      </c>
      <c r="BF1" t="s">
        <v>260</v>
      </c>
      <c r="BG1" t="s">
        <v>260</v>
      </c>
      <c r="BH1" t="s">
        <v>248</v>
      </c>
      <c r="BI1" t="s">
        <v>248</v>
      </c>
      <c r="BJ1" t="s">
        <v>248</v>
      </c>
      <c r="BK1" t="s">
        <v>248</v>
      </c>
      <c r="BL1" t="s">
        <v>248</v>
      </c>
      <c r="BM1" t="s">
        <v>248</v>
      </c>
      <c r="BN1" t="s">
        <v>248</v>
      </c>
      <c r="BO1" t="s">
        <v>248</v>
      </c>
      <c r="BP1" t="s">
        <v>248</v>
      </c>
      <c r="BQ1" t="s">
        <v>248</v>
      </c>
      <c r="BR1" t="s">
        <v>248</v>
      </c>
      <c r="BS1" t="s">
        <v>248</v>
      </c>
      <c r="BT1" t="s">
        <v>248</v>
      </c>
      <c r="BU1" t="s">
        <v>248</v>
      </c>
      <c r="BV1" t="s">
        <v>248</v>
      </c>
      <c r="BW1" t="s">
        <v>248</v>
      </c>
      <c r="BX1" t="s">
        <v>248</v>
      </c>
      <c r="BY1" t="s">
        <v>250</v>
      </c>
      <c r="BZ1" t="s">
        <v>249</v>
      </c>
      <c r="CA1" t="s">
        <v>249</v>
      </c>
      <c r="CB1" t="s">
        <v>249</v>
      </c>
      <c r="CC1" t="s">
        <v>249</v>
      </c>
      <c r="CD1" t="s">
        <v>249</v>
      </c>
      <c r="CE1" t="s">
        <v>249</v>
      </c>
      <c r="CF1" t="s">
        <v>249</v>
      </c>
      <c r="CW1" t="s">
        <v>250</v>
      </c>
      <c r="DB1" t="s">
        <v>257</v>
      </c>
      <c r="DC1" t="s">
        <v>257</v>
      </c>
      <c r="DF1" t="s">
        <v>259</v>
      </c>
      <c r="DG1" t="s">
        <v>259</v>
      </c>
      <c r="DH1" t="s">
        <v>259</v>
      </c>
      <c r="DI1" t="s">
        <v>259</v>
      </c>
      <c r="DJ1" t="s">
        <v>259</v>
      </c>
      <c r="DK1" t="s">
        <v>258</v>
      </c>
      <c r="DL1" t="s">
        <v>258</v>
      </c>
      <c r="DM1" t="s">
        <v>250</v>
      </c>
      <c r="DN1" t="s">
        <v>258</v>
      </c>
      <c r="DO1" t="s">
        <v>258</v>
      </c>
      <c r="DP1" t="s">
        <v>258</v>
      </c>
    </row>
    <row r="2" spans="1:126" x14ac:dyDescent="0.2">
      <c r="H2" t="s">
        <v>127</v>
      </c>
      <c r="I2" t="s">
        <v>126</v>
      </c>
      <c r="J2" t="s">
        <v>126</v>
      </c>
      <c r="K2" t="s">
        <v>125</v>
      </c>
      <c r="L2" t="s">
        <v>126</v>
      </c>
      <c r="M2" t="s">
        <v>126</v>
      </c>
      <c r="N2" t="s">
        <v>126</v>
      </c>
      <c r="O2" t="s">
        <v>126</v>
      </c>
      <c r="P2" t="s">
        <v>127</v>
      </c>
      <c r="Q2" t="s">
        <v>126</v>
      </c>
      <c r="R2" t="s">
        <v>126</v>
      </c>
      <c r="S2" t="s">
        <v>126</v>
      </c>
      <c r="T2" t="s">
        <v>126</v>
      </c>
      <c r="U2" t="s">
        <v>125</v>
      </c>
      <c r="V2" t="s">
        <v>125</v>
      </c>
      <c r="W2" t="s">
        <v>125</v>
      </c>
      <c r="X2" t="s">
        <v>125</v>
      </c>
      <c r="Y2" t="s">
        <v>126</v>
      </c>
      <c r="AA2" t="s">
        <v>127</v>
      </c>
      <c r="AB2" t="s">
        <v>127</v>
      </c>
      <c r="AC2" t="s">
        <v>125</v>
      </c>
      <c r="AD2" t="s">
        <v>125</v>
      </c>
      <c r="AE2" t="s">
        <v>126</v>
      </c>
      <c r="AF2" t="s">
        <v>126</v>
      </c>
      <c r="AG2" t="s">
        <v>126</v>
      </c>
      <c r="AH2" t="s">
        <v>127</v>
      </c>
      <c r="AI2" t="s">
        <v>126</v>
      </c>
      <c r="AK2" t="s">
        <v>126</v>
      </c>
      <c r="AL2" t="s">
        <v>126</v>
      </c>
      <c r="AM2" t="s">
        <v>127</v>
      </c>
      <c r="AN2" t="s">
        <v>127</v>
      </c>
      <c r="AO2" t="s">
        <v>126</v>
      </c>
      <c r="AP2" t="s">
        <v>127</v>
      </c>
      <c r="AQ2" t="s">
        <v>126</v>
      </c>
      <c r="AR2" t="s">
        <v>127</v>
      </c>
      <c r="AS2" t="s">
        <v>126</v>
      </c>
      <c r="AT2" t="s">
        <v>126</v>
      </c>
      <c r="AU2" t="s">
        <v>126</v>
      </c>
      <c r="AV2" t="s">
        <v>254</v>
      </c>
      <c r="AZ2" t="s">
        <v>252</v>
      </c>
      <c r="BB2" t="s">
        <v>127</v>
      </c>
      <c r="BC2" t="s">
        <v>127</v>
      </c>
      <c r="BD2" t="s">
        <v>127</v>
      </c>
      <c r="BE2" t="s">
        <v>127</v>
      </c>
      <c r="BG2" t="s">
        <v>127</v>
      </c>
      <c r="BH2" t="s">
        <v>127</v>
      </c>
      <c r="BI2" t="s">
        <v>127</v>
      </c>
      <c r="BJ2" t="s">
        <v>126</v>
      </c>
      <c r="BK2" t="s">
        <v>126</v>
      </c>
      <c r="BL2" t="s">
        <v>127</v>
      </c>
      <c r="BM2" t="s">
        <v>126</v>
      </c>
      <c r="BN2" t="s">
        <v>127</v>
      </c>
      <c r="BO2" t="s">
        <v>127</v>
      </c>
      <c r="BP2" t="s">
        <v>127</v>
      </c>
      <c r="BQ2" t="s">
        <v>127</v>
      </c>
      <c r="BR2" t="s">
        <v>127</v>
      </c>
      <c r="BS2" t="s">
        <v>125</v>
      </c>
      <c r="BT2" t="s">
        <v>126</v>
      </c>
      <c r="BU2" t="s">
        <v>126</v>
      </c>
      <c r="BV2" t="s">
        <v>127</v>
      </c>
      <c r="BW2" t="s">
        <v>127</v>
      </c>
      <c r="BX2" t="s">
        <v>125</v>
      </c>
      <c r="BY2" t="s">
        <v>125</v>
      </c>
      <c r="BZ2" t="s">
        <v>125</v>
      </c>
      <c r="CA2" t="s">
        <v>125</v>
      </c>
      <c r="CB2" t="s">
        <v>125</v>
      </c>
      <c r="CC2" t="s">
        <v>125</v>
      </c>
      <c r="CD2" t="s">
        <v>125</v>
      </c>
      <c r="CE2" t="s">
        <v>125</v>
      </c>
      <c r="CF2" t="s">
        <v>125</v>
      </c>
      <c r="CW2" t="s">
        <v>125</v>
      </c>
      <c r="DB2" t="s">
        <v>127</v>
      </c>
      <c r="DC2" t="s">
        <v>127</v>
      </c>
      <c r="DK2" t="s">
        <v>125</v>
      </c>
      <c r="DL2" t="s">
        <v>125</v>
      </c>
      <c r="DM2" t="s">
        <v>125</v>
      </c>
      <c r="DN2" t="s">
        <v>125</v>
      </c>
      <c r="DO2" t="s">
        <v>125</v>
      </c>
      <c r="DP2" t="s">
        <v>125</v>
      </c>
    </row>
    <row r="3" spans="1:126" s="11" customFormat="1" ht="50.25" customHeight="1" x14ac:dyDescent="0.2">
      <c r="A3" s="24" t="s">
        <v>237</v>
      </c>
      <c r="B3" s="24" t="s">
        <v>236</v>
      </c>
      <c r="C3" s="17" t="s">
        <v>235</v>
      </c>
      <c r="D3" s="17" t="s">
        <v>234</v>
      </c>
      <c r="E3" s="23" t="s">
        <v>233</v>
      </c>
      <c r="F3" s="17" t="s">
        <v>232</v>
      </c>
      <c r="G3" s="17" t="s">
        <v>231</v>
      </c>
      <c r="H3" s="17" t="s">
        <v>230</v>
      </c>
      <c r="I3" s="17" t="s">
        <v>227</v>
      </c>
      <c r="J3" s="17" t="s">
        <v>226</v>
      </c>
      <c r="K3" s="17" t="s">
        <v>224</v>
      </c>
      <c r="L3" s="17" t="s">
        <v>157</v>
      </c>
      <c r="M3" s="17" t="s">
        <v>219</v>
      </c>
      <c r="N3" s="17" t="s">
        <v>218</v>
      </c>
      <c r="O3" s="17" t="s">
        <v>217</v>
      </c>
      <c r="P3" s="17" t="s">
        <v>216</v>
      </c>
      <c r="Q3" s="32" t="s">
        <v>213</v>
      </c>
      <c r="R3" s="32" t="s">
        <v>212</v>
      </c>
      <c r="S3" s="32" t="s">
        <v>211</v>
      </c>
      <c r="T3" s="32" t="s">
        <v>210</v>
      </c>
      <c r="U3" s="32" t="s">
        <v>285</v>
      </c>
      <c r="V3" s="32" t="s">
        <v>286</v>
      </c>
      <c r="W3" s="32" t="s">
        <v>287</v>
      </c>
      <c r="X3" s="32" t="s">
        <v>288</v>
      </c>
      <c r="Y3" s="17" t="s">
        <v>253</v>
      </c>
      <c r="Z3" s="17" t="s">
        <v>289</v>
      </c>
      <c r="AA3" s="17" t="s">
        <v>179</v>
      </c>
      <c r="AB3" s="17" t="s">
        <v>178</v>
      </c>
      <c r="AC3" s="20" t="s">
        <v>290</v>
      </c>
      <c r="AD3" s="20" t="s">
        <v>284</v>
      </c>
      <c r="AE3" s="16" t="s">
        <v>206</v>
      </c>
      <c r="AF3" s="16" t="s">
        <v>205</v>
      </c>
      <c r="AG3" s="16" t="s">
        <v>204</v>
      </c>
      <c r="AH3" s="16" t="s">
        <v>251</v>
      </c>
      <c r="AI3" s="16" t="s">
        <v>203</v>
      </c>
      <c r="AJ3" s="16" t="s">
        <v>298</v>
      </c>
      <c r="AK3" s="16" t="s">
        <v>202</v>
      </c>
      <c r="AL3" s="16" t="s">
        <v>201</v>
      </c>
      <c r="AM3" s="16" t="s">
        <v>292</v>
      </c>
      <c r="AN3" s="16" t="s">
        <v>293</v>
      </c>
      <c r="AO3" s="15" t="s">
        <v>200</v>
      </c>
      <c r="AP3" s="15" t="s">
        <v>199</v>
      </c>
      <c r="AQ3" s="15" t="s">
        <v>198</v>
      </c>
      <c r="AR3" s="15" t="s">
        <v>294</v>
      </c>
      <c r="AS3" s="22" t="s">
        <v>195</v>
      </c>
      <c r="AT3" s="22" t="s">
        <v>194</v>
      </c>
      <c r="AU3" s="22" t="s">
        <v>193</v>
      </c>
      <c r="AV3" s="22" t="s">
        <v>136</v>
      </c>
      <c r="AW3" s="12" t="s">
        <v>192</v>
      </c>
      <c r="AX3" s="12" t="s">
        <v>192</v>
      </c>
      <c r="AY3" s="12" t="s">
        <v>192</v>
      </c>
      <c r="AZ3" s="12" t="s">
        <v>191</v>
      </c>
      <c r="BA3" s="12" t="s">
        <v>295</v>
      </c>
      <c r="BB3" s="12" t="s">
        <v>190</v>
      </c>
      <c r="BC3" s="21" t="s">
        <v>184</v>
      </c>
      <c r="BD3" s="21" t="s">
        <v>183</v>
      </c>
      <c r="BE3" s="21" t="s">
        <v>182</v>
      </c>
      <c r="BF3" s="21" t="s">
        <v>181</v>
      </c>
      <c r="BG3" s="21" t="s">
        <v>180</v>
      </c>
      <c r="BH3" s="13" t="s">
        <v>188</v>
      </c>
      <c r="BI3" s="13" t="s">
        <v>153</v>
      </c>
      <c r="BJ3" s="13" t="s">
        <v>161</v>
      </c>
      <c r="BK3" s="13" t="s">
        <v>296</v>
      </c>
      <c r="BL3" s="13" t="s">
        <v>160</v>
      </c>
      <c r="BM3" s="13" t="s">
        <v>242</v>
      </c>
      <c r="BN3" s="13" t="s">
        <v>174</v>
      </c>
      <c r="BO3" s="13" t="s">
        <v>152</v>
      </c>
      <c r="BP3" s="13" t="s">
        <v>158</v>
      </c>
      <c r="BQ3" s="13" t="s">
        <v>159</v>
      </c>
      <c r="BR3" s="13" t="s">
        <v>154</v>
      </c>
      <c r="BS3" s="13" t="s">
        <v>155</v>
      </c>
      <c r="BT3" s="13" t="s">
        <v>246</v>
      </c>
      <c r="BU3" s="21" t="s">
        <v>177</v>
      </c>
      <c r="BV3" s="21" t="s">
        <v>176</v>
      </c>
      <c r="BW3" s="21" t="s">
        <v>175</v>
      </c>
      <c r="BX3" s="21" t="s">
        <v>144</v>
      </c>
      <c r="BY3" s="21" t="s">
        <v>255</v>
      </c>
      <c r="BZ3" s="19" t="s">
        <v>244</v>
      </c>
      <c r="CA3" s="19" t="s">
        <v>245</v>
      </c>
      <c r="CB3" s="19" t="s">
        <v>297</v>
      </c>
      <c r="CC3" s="19" t="s">
        <v>149</v>
      </c>
      <c r="CD3" s="14" t="s">
        <v>156</v>
      </c>
      <c r="CE3" s="14" t="s">
        <v>148</v>
      </c>
      <c r="CF3" s="14" t="s">
        <v>147</v>
      </c>
      <c r="CG3" s="11" t="s">
        <v>299</v>
      </c>
      <c r="CI3" s="42" t="s">
        <v>229</v>
      </c>
      <c r="CJ3" s="42" t="s">
        <v>228</v>
      </c>
      <c r="CK3" s="42" t="s">
        <v>225</v>
      </c>
      <c r="CL3" s="42" t="s">
        <v>223</v>
      </c>
      <c r="CM3" s="42" t="s">
        <v>222</v>
      </c>
      <c r="CN3" s="42" t="s">
        <v>221</v>
      </c>
      <c r="CO3" s="42" t="s">
        <v>215</v>
      </c>
      <c r="CP3" s="42" t="s">
        <v>209</v>
      </c>
      <c r="CQ3" s="42" t="s">
        <v>208</v>
      </c>
      <c r="CR3" s="42" t="s">
        <v>173</v>
      </c>
      <c r="CS3" s="42" t="s">
        <v>171</v>
      </c>
      <c r="CT3" s="42" t="s">
        <v>170</v>
      </c>
      <c r="CU3" s="42" t="s">
        <v>169</v>
      </c>
      <c r="CV3" s="42" t="s">
        <v>168</v>
      </c>
      <c r="CW3" s="13" t="s">
        <v>187</v>
      </c>
      <c r="CX3" s="12" t="s">
        <v>189</v>
      </c>
      <c r="CY3" s="18" t="s">
        <v>167</v>
      </c>
      <c r="CZ3" s="18"/>
      <c r="DB3" s="15" t="s">
        <v>197</v>
      </c>
      <c r="DC3" s="15" t="s">
        <v>196</v>
      </c>
      <c r="DF3" s="21" t="s">
        <v>220</v>
      </c>
      <c r="DG3" s="21" t="s">
        <v>214</v>
      </c>
      <c r="DH3" s="21" t="s">
        <v>207</v>
      </c>
      <c r="DI3" s="21" t="s">
        <v>186</v>
      </c>
      <c r="DJ3" s="21" t="s">
        <v>185</v>
      </c>
      <c r="DK3" s="21" t="s">
        <v>172</v>
      </c>
      <c r="DL3" s="21" t="s">
        <v>166</v>
      </c>
      <c r="DM3" s="20" t="s">
        <v>150</v>
      </c>
      <c r="DN3" s="21" t="s">
        <v>165</v>
      </c>
      <c r="DO3" s="21" t="s">
        <v>163</v>
      </c>
      <c r="DP3" s="21" t="s">
        <v>151</v>
      </c>
      <c r="DU3" s="18" t="s">
        <v>146</v>
      </c>
      <c r="DV3" s="18" t="s">
        <v>145</v>
      </c>
    </row>
    <row r="4" spans="1:126" ht="20.25" x14ac:dyDescent="0.3">
      <c r="A4" s="10"/>
      <c r="B4" s="9"/>
      <c r="H4" t="s">
        <v>134</v>
      </c>
      <c r="I4" t="s">
        <v>139</v>
      </c>
      <c r="J4" t="s">
        <v>139</v>
      </c>
      <c r="K4" t="s">
        <v>143</v>
      </c>
      <c r="L4" t="s">
        <v>129</v>
      </c>
      <c r="M4" t="s">
        <v>142</v>
      </c>
      <c r="N4" t="s">
        <v>142</v>
      </c>
      <c r="O4" t="s">
        <v>142</v>
      </c>
      <c r="P4" t="s">
        <v>132</v>
      </c>
      <c r="Q4" t="s">
        <v>141</v>
      </c>
      <c r="R4" t="s">
        <v>141</v>
      </c>
      <c r="S4" t="s">
        <v>141</v>
      </c>
      <c r="T4" t="s">
        <v>141</v>
      </c>
      <c r="U4" t="s">
        <v>34</v>
      </c>
      <c r="V4" t="s">
        <v>34</v>
      </c>
      <c r="W4" t="s">
        <v>34</v>
      </c>
      <c r="X4" t="s">
        <v>34</v>
      </c>
      <c r="Y4" t="s">
        <v>133</v>
      </c>
      <c r="Z4" t="s">
        <v>133</v>
      </c>
      <c r="AA4" t="s">
        <v>133</v>
      </c>
      <c r="AB4" t="s">
        <v>133</v>
      </c>
      <c r="AC4" t="s">
        <v>34</v>
      </c>
      <c r="AD4" t="s">
        <v>291</v>
      </c>
      <c r="AE4" t="s">
        <v>139</v>
      </c>
      <c r="AF4" t="s">
        <v>139</v>
      </c>
      <c r="AG4" t="s">
        <v>138</v>
      </c>
      <c r="AI4" t="s">
        <v>138</v>
      </c>
      <c r="AK4" t="s">
        <v>138</v>
      </c>
      <c r="AL4" t="s">
        <v>138</v>
      </c>
      <c r="AM4" t="s">
        <v>34</v>
      </c>
      <c r="AN4" t="s">
        <v>34</v>
      </c>
      <c r="AO4" t="s">
        <v>137</v>
      </c>
      <c r="AP4" t="s">
        <v>137</v>
      </c>
      <c r="AQ4" t="s">
        <v>137</v>
      </c>
      <c r="AS4" t="s">
        <v>135</v>
      </c>
      <c r="AT4" t="s">
        <v>135</v>
      </c>
      <c r="AU4" t="s">
        <v>135</v>
      </c>
      <c r="AV4" t="s">
        <v>136</v>
      </c>
      <c r="AW4" t="s">
        <v>135</v>
      </c>
      <c r="AX4" t="s">
        <v>135</v>
      </c>
      <c r="AY4" t="s">
        <v>135</v>
      </c>
      <c r="AZ4" t="s">
        <v>129</v>
      </c>
      <c r="BA4" t="s">
        <v>129</v>
      </c>
      <c r="BB4" t="s">
        <v>129</v>
      </c>
      <c r="BC4" t="s">
        <v>132</v>
      </c>
      <c r="BD4" t="s">
        <v>134</v>
      </c>
      <c r="BE4" t="s">
        <v>131</v>
      </c>
      <c r="BF4" t="s">
        <v>129</v>
      </c>
      <c r="BG4" t="s">
        <v>131</v>
      </c>
      <c r="BH4" t="s">
        <v>132</v>
      </c>
      <c r="BI4" t="s">
        <v>129</v>
      </c>
      <c r="BJ4" t="s">
        <v>132</v>
      </c>
      <c r="BK4" t="s">
        <v>34</v>
      </c>
      <c r="BL4" t="s">
        <v>132</v>
      </c>
      <c r="BM4" t="s">
        <v>34</v>
      </c>
      <c r="BN4" t="s">
        <v>130</v>
      </c>
      <c r="BO4" t="s">
        <v>130</v>
      </c>
      <c r="BP4" t="s">
        <v>131</v>
      </c>
      <c r="BQ4" t="s">
        <v>129</v>
      </c>
      <c r="BR4" t="s">
        <v>129</v>
      </c>
      <c r="BS4" t="s">
        <v>129</v>
      </c>
      <c r="BT4" t="s">
        <v>34</v>
      </c>
      <c r="BU4" t="s">
        <v>132</v>
      </c>
      <c r="BV4" t="s">
        <v>132</v>
      </c>
      <c r="BW4" t="s">
        <v>132</v>
      </c>
      <c r="BZ4" t="s">
        <v>34</v>
      </c>
      <c r="CA4" t="s">
        <v>34</v>
      </c>
      <c r="CB4" t="s">
        <v>34</v>
      </c>
      <c r="CC4" t="s">
        <v>129</v>
      </c>
      <c r="CD4" t="s">
        <v>129</v>
      </c>
      <c r="CE4" t="s">
        <v>129</v>
      </c>
      <c r="CF4" t="s">
        <v>129</v>
      </c>
      <c r="CI4" t="s">
        <v>132</v>
      </c>
      <c r="CJ4" t="s">
        <v>134</v>
      </c>
      <c r="CK4" t="s">
        <v>143</v>
      </c>
      <c r="CL4" t="s">
        <v>143</v>
      </c>
      <c r="CM4" t="s">
        <v>143</v>
      </c>
      <c r="CN4" t="s">
        <v>139</v>
      </c>
      <c r="CO4" t="s">
        <v>130</v>
      </c>
      <c r="CP4" t="s">
        <v>140</v>
      </c>
      <c r="CQ4" t="s">
        <v>133</v>
      </c>
      <c r="CR4" t="s">
        <v>133</v>
      </c>
      <c r="CS4" t="s">
        <v>129</v>
      </c>
      <c r="CT4" t="s">
        <v>129</v>
      </c>
      <c r="CU4" t="s">
        <v>129</v>
      </c>
      <c r="CV4" t="s">
        <v>132</v>
      </c>
      <c r="CW4" t="s">
        <v>133</v>
      </c>
      <c r="CX4" t="s">
        <v>129</v>
      </c>
      <c r="CY4" t="s">
        <v>129</v>
      </c>
      <c r="DB4" t="s">
        <v>137</v>
      </c>
      <c r="DC4" t="s">
        <v>137</v>
      </c>
      <c r="DI4" t="s">
        <v>134</v>
      </c>
      <c r="DJ4" t="s">
        <v>132</v>
      </c>
      <c r="DL4" t="s">
        <v>129</v>
      </c>
      <c r="DN4" t="s">
        <v>132</v>
      </c>
      <c r="DO4" t="s">
        <v>131</v>
      </c>
      <c r="DP4" t="s">
        <v>129</v>
      </c>
    </row>
    <row r="5" spans="1:126" x14ac:dyDescent="0.2">
      <c r="B5" s="9" t="s">
        <v>128</v>
      </c>
      <c r="H5" t="s">
        <v>127</v>
      </c>
      <c r="I5" t="s">
        <v>126</v>
      </c>
      <c r="J5" t="s">
        <v>126</v>
      </c>
      <c r="K5" t="s">
        <v>125</v>
      </c>
      <c r="L5" t="s">
        <v>126</v>
      </c>
      <c r="M5" t="s">
        <v>126</v>
      </c>
      <c r="N5" t="s">
        <v>126</v>
      </c>
      <c r="O5" t="s">
        <v>126</v>
      </c>
      <c r="P5" t="s">
        <v>126</v>
      </c>
      <c r="Q5" t="s">
        <v>127</v>
      </c>
      <c r="R5" t="s">
        <v>127</v>
      </c>
      <c r="S5" t="s">
        <v>127</v>
      </c>
      <c r="T5" t="s">
        <v>127</v>
      </c>
      <c r="AA5" t="s">
        <v>127</v>
      </c>
      <c r="AB5" t="s">
        <v>127</v>
      </c>
      <c r="AE5" t="s">
        <v>127</v>
      </c>
      <c r="AF5" t="s">
        <v>127</v>
      </c>
      <c r="AG5" t="s">
        <v>127</v>
      </c>
      <c r="AI5" t="s">
        <v>127</v>
      </c>
      <c r="AK5" t="s">
        <v>127</v>
      </c>
      <c r="AL5" t="s">
        <v>127</v>
      </c>
      <c r="AO5" t="s">
        <v>127</v>
      </c>
      <c r="AP5" t="s">
        <v>127</v>
      </c>
      <c r="AQ5" t="s">
        <v>127</v>
      </c>
      <c r="AS5" t="s">
        <v>127</v>
      </c>
      <c r="AT5" t="s">
        <v>127</v>
      </c>
      <c r="AU5" t="s">
        <v>127</v>
      </c>
      <c r="AV5" t="s">
        <v>127</v>
      </c>
      <c r="AW5" t="s">
        <v>127</v>
      </c>
      <c r="AX5" t="s">
        <v>127</v>
      </c>
      <c r="AY5" t="s">
        <v>127</v>
      </c>
      <c r="AZ5" t="s">
        <v>125</v>
      </c>
      <c r="BB5" t="s">
        <v>127</v>
      </c>
      <c r="BC5" t="s">
        <v>127</v>
      </c>
      <c r="BD5" t="s">
        <v>127</v>
      </c>
      <c r="BE5" t="s">
        <v>127</v>
      </c>
      <c r="BF5" t="s">
        <v>127</v>
      </c>
      <c r="BG5" t="s">
        <v>127</v>
      </c>
      <c r="BH5" t="s">
        <v>127</v>
      </c>
      <c r="BI5" t="s">
        <v>127</v>
      </c>
      <c r="BJ5" t="s">
        <v>126</v>
      </c>
      <c r="BL5" t="s">
        <v>127</v>
      </c>
      <c r="BN5" t="s">
        <v>127</v>
      </c>
      <c r="BO5" t="s">
        <v>127</v>
      </c>
      <c r="BP5" t="s">
        <v>127</v>
      </c>
      <c r="BQ5" t="s">
        <v>127</v>
      </c>
      <c r="BR5" t="s">
        <v>127</v>
      </c>
      <c r="BS5" t="s">
        <v>125</v>
      </c>
      <c r="BU5" t="s">
        <v>127</v>
      </c>
      <c r="BV5" t="s">
        <v>127</v>
      </c>
      <c r="BW5" t="s">
        <v>127</v>
      </c>
      <c r="CC5" t="s">
        <v>125</v>
      </c>
      <c r="CD5" t="s">
        <v>125</v>
      </c>
      <c r="CE5" t="s">
        <v>125</v>
      </c>
      <c r="CF5" t="s">
        <v>125</v>
      </c>
      <c r="CI5" t="s">
        <v>126</v>
      </c>
      <c r="CJ5" t="s">
        <v>125</v>
      </c>
      <c r="CK5" t="s">
        <v>125</v>
      </c>
      <c r="CL5" t="s">
        <v>125</v>
      </c>
      <c r="CM5" t="s">
        <v>125</v>
      </c>
      <c r="CN5" t="s">
        <v>126</v>
      </c>
      <c r="CO5" t="s">
        <v>126</v>
      </c>
      <c r="CP5" t="s">
        <v>126</v>
      </c>
      <c r="CQ5" t="s">
        <v>126</v>
      </c>
      <c r="CR5" t="s">
        <v>125</v>
      </c>
      <c r="CS5" t="s">
        <v>125</v>
      </c>
      <c r="CT5" t="s">
        <v>125</v>
      </c>
      <c r="CU5" t="s">
        <v>126</v>
      </c>
      <c r="CV5" t="s">
        <v>127</v>
      </c>
      <c r="CW5" t="s">
        <v>126</v>
      </c>
      <c r="CX5" t="s">
        <v>127</v>
      </c>
      <c r="CY5" t="s">
        <v>126</v>
      </c>
      <c r="DB5" t="s">
        <v>127</v>
      </c>
      <c r="DC5" t="s">
        <v>127</v>
      </c>
      <c r="DF5" t="s">
        <v>126</v>
      </c>
      <c r="DH5" t="s">
        <v>126</v>
      </c>
      <c r="DI5" t="s">
        <v>125</v>
      </c>
      <c r="DJ5" t="s">
        <v>126</v>
      </c>
      <c r="DL5" t="s">
        <v>126</v>
      </c>
      <c r="DN5" t="s">
        <v>125</v>
      </c>
      <c r="DO5" t="s">
        <v>125</v>
      </c>
      <c r="DP5" t="s">
        <v>126</v>
      </c>
      <c r="DV5" s="6"/>
    </row>
    <row r="6" spans="1:126" x14ac:dyDescent="0.2">
      <c r="A6" s="3">
        <v>202</v>
      </c>
      <c r="B6" s="2" t="s">
        <v>124</v>
      </c>
      <c r="C6" t="s">
        <v>7</v>
      </c>
      <c r="D6">
        <v>7</v>
      </c>
      <c r="E6" s="1">
        <v>226</v>
      </c>
      <c r="F6" s="4">
        <v>0.90700000000000003</v>
      </c>
      <c r="G6">
        <v>205</v>
      </c>
      <c r="H6" s="6">
        <v>195277</v>
      </c>
      <c r="I6" s="6"/>
      <c r="J6" s="6"/>
      <c r="K6" s="6">
        <v>67876</v>
      </c>
      <c r="L6" s="6">
        <v>4009</v>
      </c>
      <c r="M6" s="6">
        <v>78183</v>
      </c>
      <c r="N6" s="6">
        <v>60194</v>
      </c>
      <c r="O6" s="6">
        <v>50595</v>
      </c>
      <c r="P6" s="6">
        <v>112569</v>
      </c>
      <c r="Q6" s="6">
        <v>225138</v>
      </c>
      <c r="R6" s="6"/>
      <c r="S6" s="6">
        <v>225138</v>
      </c>
      <c r="T6" s="6">
        <v>149952</v>
      </c>
      <c r="U6" s="6"/>
      <c r="V6" s="6"/>
      <c r="W6" s="6"/>
      <c r="X6" s="6"/>
      <c r="Y6" s="6"/>
      <c r="Z6" s="6"/>
      <c r="AA6" s="6"/>
      <c r="AB6" s="6"/>
      <c r="AC6" s="6"/>
      <c r="AD6" s="6">
        <v>94713</v>
      </c>
      <c r="AE6" s="6">
        <v>112569</v>
      </c>
      <c r="AF6" s="6">
        <v>112569</v>
      </c>
      <c r="AG6" s="6">
        <v>675414</v>
      </c>
      <c r="AH6" s="6"/>
      <c r="AI6" s="6">
        <v>149952</v>
      </c>
      <c r="AJ6" s="6"/>
      <c r="AK6" s="6"/>
      <c r="AL6" s="6"/>
      <c r="AM6" s="6"/>
      <c r="AN6" s="6"/>
      <c r="AO6" s="6"/>
      <c r="AP6" s="6">
        <v>40525</v>
      </c>
      <c r="AQ6" s="6"/>
      <c r="AR6" s="6"/>
      <c r="AS6" s="6">
        <f>20400-13600</f>
        <v>6800</v>
      </c>
      <c r="AT6" s="6">
        <f>20400-13600</f>
        <v>6800</v>
      </c>
      <c r="AU6" s="6">
        <v>10200</v>
      </c>
      <c r="AV6" s="6"/>
      <c r="AW6" s="6">
        <v>27200</v>
      </c>
      <c r="AX6" s="6"/>
      <c r="AY6" s="6"/>
      <c r="AZ6" s="6">
        <v>102474.01</v>
      </c>
      <c r="BA6" s="6"/>
      <c r="BB6" s="6"/>
      <c r="BC6" s="6"/>
      <c r="BD6" s="6"/>
      <c r="BE6" s="6"/>
      <c r="BF6" s="6"/>
      <c r="BG6" s="6"/>
      <c r="BH6" s="6"/>
      <c r="BI6" s="6"/>
      <c r="BJ6" s="6"/>
      <c r="BK6" s="6"/>
      <c r="BL6" s="6"/>
      <c r="BM6" s="6"/>
      <c r="BN6" s="6"/>
      <c r="BO6" s="6"/>
      <c r="BP6" s="6"/>
      <c r="BQ6" s="6"/>
      <c r="BR6" s="6">
        <v>13859</v>
      </c>
      <c r="BS6" s="6"/>
      <c r="BT6" s="6"/>
      <c r="BU6" s="6"/>
      <c r="BV6" s="6"/>
      <c r="BW6" s="6"/>
      <c r="BX6" s="6">
        <v>518962</v>
      </c>
      <c r="BY6" s="6"/>
      <c r="BZ6" s="6"/>
      <c r="CA6" s="6"/>
      <c r="CB6" s="6"/>
      <c r="CC6" s="6"/>
      <c r="CD6" s="6"/>
      <c r="CE6" s="6"/>
      <c r="CF6" s="6">
        <v>75000</v>
      </c>
      <c r="CG6" s="6">
        <f>SUM(H6:CF6)</f>
        <v>3115968.01</v>
      </c>
      <c r="CI6" s="6">
        <v>112569</v>
      </c>
      <c r="CJ6" s="6"/>
      <c r="CK6" s="6">
        <v>45440</v>
      </c>
      <c r="CL6" s="6"/>
      <c r="CM6" s="6"/>
      <c r="CN6" s="6"/>
      <c r="CO6" s="6">
        <v>337707</v>
      </c>
      <c r="CP6" s="6">
        <v>74976</v>
      </c>
      <c r="CQ6" s="6">
        <v>1125690</v>
      </c>
      <c r="CR6" s="6"/>
      <c r="CS6" s="6"/>
      <c r="CT6" s="6"/>
      <c r="CU6" s="6"/>
      <c r="CV6" s="6"/>
      <c r="CW6" s="6"/>
      <c r="CX6" s="6">
        <v>0</v>
      </c>
      <c r="CY6" s="6">
        <v>75000</v>
      </c>
      <c r="CZ6" s="6"/>
      <c r="DB6" s="6"/>
      <c r="DC6" s="6"/>
      <c r="DF6" s="6"/>
      <c r="DG6" s="6"/>
      <c r="DH6" s="6"/>
      <c r="DI6" s="6"/>
      <c r="DJ6" s="6"/>
      <c r="DK6" s="6"/>
      <c r="DL6" s="6">
        <v>8223</v>
      </c>
      <c r="DM6" s="6"/>
      <c r="DN6" s="6"/>
      <c r="DO6" s="6"/>
      <c r="DP6" s="6">
        <v>12650</v>
      </c>
      <c r="DU6" s="6">
        <f>VLOOKUP($A6,[3]Totals!$B$2:$K$119,10,FALSE)</f>
        <v>174303.09</v>
      </c>
      <c r="DV6" s="6">
        <f>VLOOKUP($A6,[3]Totals!$B$2:$K$119,9,FALSE)</f>
        <v>87574</v>
      </c>
    </row>
    <row r="7" spans="1:126" x14ac:dyDescent="0.2">
      <c r="A7" s="3">
        <v>203</v>
      </c>
      <c r="B7" s="2" t="s">
        <v>123</v>
      </c>
      <c r="C7" t="s">
        <v>7</v>
      </c>
      <c r="D7">
        <v>6</v>
      </c>
      <c r="E7" s="1">
        <v>335</v>
      </c>
      <c r="F7" s="4">
        <v>0.63300000000000001</v>
      </c>
      <c r="G7">
        <v>212</v>
      </c>
      <c r="H7" s="6">
        <v>195277</v>
      </c>
      <c r="I7" s="6"/>
      <c r="J7" s="6"/>
      <c r="K7" s="6">
        <v>67876</v>
      </c>
      <c r="L7" s="6">
        <v>5669</v>
      </c>
      <c r="M7" s="6">
        <v>78183</v>
      </c>
      <c r="N7" s="6">
        <v>60194</v>
      </c>
      <c r="O7" s="6">
        <v>101190</v>
      </c>
      <c r="P7" s="6">
        <v>112569</v>
      </c>
      <c r="Q7" s="6">
        <v>225138</v>
      </c>
      <c r="R7" s="6">
        <v>112569</v>
      </c>
      <c r="S7" s="6">
        <v>225138</v>
      </c>
      <c r="T7" s="6">
        <v>187440</v>
      </c>
      <c r="U7" s="6"/>
      <c r="V7" s="6"/>
      <c r="W7" s="6"/>
      <c r="X7" s="6"/>
      <c r="Y7" s="6"/>
      <c r="Z7" s="6"/>
      <c r="AA7" s="6"/>
      <c r="AB7" s="6"/>
      <c r="AC7" s="6"/>
      <c r="AD7" s="6">
        <v>121853</v>
      </c>
      <c r="AE7" s="6">
        <v>112569</v>
      </c>
      <c r="AF7" s="6">
        <v>112569</v>
      </c>
      <c r="AG7" s="6">
        <v>787983</v>
      </c>
      <c r="AH7" s="6"/>
      <c r="AI7" s="6">
        <v>74976</v>
      </c>
      <c r="AJ7" s="6"/>
      <c r="AK7" s="6"/>
      <c r="AL7" s="6"/>
      <c r="AM7" s="6"/>
      <c r="AN7" s="6"/>
      <c r="AO7" s="6"/>
      <c r="AP7" s="6">
        <v>40525</v>
      </c>
      <c r="AQ7" s="6"/>
      <c r="AR7" s="6"/>
      <c r="AS7" s="6">
        <f>47600-27200</f>
        <v>20400</v>
      </c>
      <c r="AT7" s="6">
        <f>47600-27200</f>
        <v>20400</v>
      </c>
      <c r="AU7" s="6">
        <v>10200</v>
      </c>
      <c r="AV7" s="6"/>
      <c r="AW7" s="6">
        <v>54400</v>
      </c>
      <c r="AX7" s="6"/>
      <c r="AY7" s="6"/>
      <c r="AZ7" s="6">
        <v>151898.74000000002</v>
      </c>
      <c r="BA7" s="6"/>
      <c r="BB7" s="6"/>
      <c r="BC7" s="6">
        <v>112569</v>
      </c>
      <c r="BD7" s="6"/>
      <c r="BE7" s="6"/>
      <c r="BF7" s="6"/>
      <c r="BG7" s="6"/>
      <c r="BH7" s="6"/>
      <c r="BI7" s="6"/>
      <c r="BJ7" s="6"/>
      <c r="BK7" s="6"/>
      <c r="BL7" s="6"/>
      <c r="BM7" s="6"/>
      <c r="BN7" s="6"/>
      <c r="BO7" s="6"/>
      <c r="BP7" s="6"/>
      <c r="BQ7" s="6"/>
      <c r="BR7" s="6"/>
      <c r="BS7" s="6"/>
      <c r="BT7" s="6"/>
      <c r="BU7" s="6"/>
      <c r="BV7" s="6"/>
      <c r="BW7" s="6"/>
      <c r="BX7" s="6">
        <v>536682</v>
      </c>
      <c r="BY7" s="6"/>
      <c r="BZ7" s="6"/>
      <c r="CA7" s="6"/>
      <c r="CB7" s="6"/>
      <c r="CC7" s="6"/>
      <c r="CD7" s="6"/>
      <c r="CE7" s="6"/>
      <c r="CF7" s="6">
        <v>0</v>
      </c>
      <c r="CG7" s="6">
        <f t="shared" ref="CG7:CG70" si="0">SUM(H7:CF7)</f>
        <v>3528267.74</v>
      </c>
      <c r="CI7" s="6">
        <v>112569</v>
      </c>
      <c r="CJ7" s="6">
        <v>125223</v>
      </c>
      <c r="CK7" s="6">
        <v>90879</v>
      </c>
      <c r="CL7" s="6"/>
      <c r="CM7" s="6"/>
      <c r="CN7" s="6"/>
      <c r="CO7" s="6">
        <v>337707</v>
      </c>
      <c r="CP7" s="6">
        <v>112464</v>
      </c>
      <c r="CQ7" s="6">
        <v>1463397</v>
      </c>
      <c r="CR7" s="6"/>
      <c r="CS7" s="6"/>
      <c r="CT7" s="6"/>
      <c r="CU7" s="6"/>
      <c r="CV7" s="6"/>
      <c r="CW7" s="6"/>
      <c r="CX7" s="6">
        <v>0</v>
      </c>
      <c r="CY7" s="6"/>
      <c r="CZ7" s="6"/>
      <c r="DB7" s="6"/>
      <c r="DC7" s="6"/>
      <c r="DF7" s="6"/>
      <c r="DG7" s="6"/>
      <c r="DH7" s="6"/>
      <c r="DI7" s="6"/>
      <c r="DJ7" s="6"/>
      <c r="DK7" s="6"/>
      <c r="DL7" s="6">
        <v>4243</v>
      </c>
      <c r="DM7" s="6"/>
      <c r="DN7" s="6"/>
      <c r="DO7" s="6"/>
      <c r="DP7" s="6">
        <v>25350</v>
      </c>
      <c r="DU7" s="6">
        <f>VLOOKUP($A7,[3]Totals!$B$2:$K$119,10,FALSE)</f>
        <v>207970.41</v>
      </c>
      <c r="DV7" s="6">
        <f>VLOOKUP($A7,[3]Totals!$B$2:$K$119,9,FALSE)</f>
        <v>229655</v>
      </c>
    </row>
    <row r="8" spans="1:126" x14ac:dyDescent="0.2">
      <c r="A8" s="3">
        <v>450</v>
      </c>
      <c r="B8" s="2" t="s">
        <v>122</v>
      </c>
      <c r="C8" t="s">
        <v>1</v>
      </c>
      <c r="D8">
        <v>8</v>
      </c>
      <c r="E8" s="1">
        <v>357</v>
      </c>
      <c r="F8" s="4">
        <v>0.83499999999999996</v>
      </c>
      <c r="G8">
        <v>298</v>
      </c>
      <c r="H8" s="6">
        <v>195277</v>
      </c>
      <c r="I8" s="6"/>
      <c r="J8" s="6">
        <v>190872</v>
      </c>
      <c r="K8" s="6">
        <v>67876</v>
      </c>
      <c r="L8" s="6">
        <v>9959</v>
      </c>
      <c r="M8" s="6">
        <v>78183</v>
      </c>
      <c r="N8" s="6">
        <v>60194</v>
      </c>
      <c r="O8" s="6">
        <v>303570</v>
      </c>
      <c r="P8" s="6">
        <v>112569</v>
      </c>
      <c r="Q8" s="6"/>
      <c r="R8" s="6"/>
      <c r="S8" s="6"/>
      <c r="T8" s="6"/>
      <c r="U8" s="6"/>
      <c r="V8" s="6"/>
      <c r="W8" s="6"/>
      <c r="X8" s="6"/>
      <c r="Y8" s="6"/>
      <c r="Z8" s="6"/>
      <c r="AA8" s="6"/>
      <c r="AB8" s="6"/>
      <c r="AC8" s="6"/>
      <c r="AD8" s="6">
        <v>191994</v>
      </c>
      <c r="AE8" s="6">
        <v>112569</v>
      </c>
      <c r="AF8" s="6">
        <v>450276</v>
      </c>
      <c r="AG8" s="6">
        <v>1575966</v>
      </c>
      <c r="AH8" s="6"/>
      <c r="AI8" s="6">
        <v>374880</v>
      </c>
      <c r="AJ8" s="6"/>
      <c r="AK8" s="6">
        <v>110030</v>
      </c>
      <c r="AL8" s="6"/>
      <c r="AM8" s="6"/>
      <c r="AN8" s="6"/>
      <c r="AO8" s="6"/>
      <c r="AP8" s="6">
        <v>5628</v>
      </c>
      <c r="AQ8" s="6"/>
      <c r="AR8" s="6"/>
      <c r="AS8" s="6"/>
      <c r="AT8" s="6"/>
      <c r="AU8" s="6"/>
      <c r="AV8" s="6">
        <v>60000</v>
      </c>
      <c r="AW8" s="6">
        <v>0</v>
      </c>
      <c r="AX8" s="6"/>
      <c r="AY8" s="6"/>
      <c r="AZ8" s="6">
        <v>382054.5</v>
      </c>
      <c r="BA8" s="6"/>
      <c r="BB8" s="6"/>
      <c r="BC8" s="6"/>
      <c r="BD8" s="6">
        <v>156529</v>
      </c>
      <c r="BE8" s="6">
        <v>9336</v>
      </c>
      <c r="BF8" s="6">
        <v>25880</v>
      </c>
      <c r="BG8" s="6">
        <v>32000</v>
      </c>
      <c r="BH8" s="6"/>
      <c r="BI8" s="6"/>
      <c r="BJ8" s="6"/>
      <c r="BK8" s="6"/>
      <c r="BL8" s="6"/>
      <c r="BM8" s="6"/>
      <c r="BN8" s="6"/>
      <c r="BO8" s="6"/>
      <c r="BP8" s="6"/>
      <c r="BQ8" s="6"/>
      <c r="BR8" s="6"/>
      <c r="BS8" s="6"/>
      <c r="BT8" s="6"/>
      <c r="BU8" s="6">
        <v>144306</v>
      </c>
      <c r="BV8" s="6"/>
      <c r="BW8" s="6"/>
      <c r="BX8" s="6">
        <v>836401</v>
      </c>
      <c r="BY8" s="6"/>
      <c r="BZ8" s="6"/>
      <c r="CA8" s="6"/>
      <c r="CB8" s="6"/>
      <c r="CC8" s="6">
        <v>166560</v>
      </c>
      <c r="CD8" s="6"/>
      <c r="CE8" s="6"/>
      <c r="CF8" s="6">
        <v>117086</v>
      </c>
      <c r="CG8" s="6">
        <f t="shared" si="0"/>
        <v>5769995.5</v>
      </c>
      <c r="CI8" s="6">
        <v>112569</v>
      </c>
      <c r="CJ8" s="6">
        <v>187835</v>
      </c>
      <c r="CK8" s="6">
        <v>90879</v>
      </c>
      <c r="CL8" s="6"/>
      <c r="CM8" s="6">
        <v>56854</v>
      </c>
      <c r="CN8" s="6">
        <f>139018-DF8</f>
        <v>69509</v>
      </c>
      <c r="CO8" s="6"/>
      <c r="CP8" s="6"/>
      <c r="CQ8" s="6">
        <f>2737678-DH8</f>
        <v>1674463.7949999999</v>
      </c>
      <c r="CR8" s="6"/>
      <c r="CS8" s="6"/>
      <c r="CT8" s="6"/>
      <c r="CU8" s="6"/>
      <c r="CV8" s="6">
        <v>117087</v>
      </c>
      <c r="CW8" s="6"/>
      <c r="CX8" s="6">
        <v>0</v>
      </c>
      <c r="CY8" s="6">
        <v>75000</v>
      </c>
      <c r="CZ8" s="6"/>
      <c r="DB8" s="6"/>
      <c r="DC8" s="6"/>
      <c r="DF8" s="6">
        <v>69509</v>
      </c>
      <c r="DG8" s="6"/>
      <c r="DH8" s="6">
        <f>'[2]pdf DetailxSch Pos'!AE6*'[2]pdf DetailxSch Pos'!AE$122</f>
        <v>1063214.2050000001</v>
      </c>
      <c r="DI8" s="6"/>
      <c r="DJ8" s="6"/>
      <c r="DK8" s="6"/>
      <c r="DL8" s="6">
        <v>11972</v>
      </c>
      <c r="DM8" s="6"/>
      <c r="DN8" s="6">
        <v>117087</v>
      </c>
      <c r="DO8" s="6"/>
      <c r="DP8" s="6">
        <v>10725</v>
      </c>
      <c r="DU8" s="6">
        <f>VLOOKUP($A8,[3]Totals!$B$2:$K$119,10,FALSE)</f>
        <v>174913.35</v>
      </c>
      <c r="DV8" s="6">
        <f>VLOOKUP($A8,[3]Totals!$B$2:$K$119,9,FALSE)</f>
        <v>50639</v>
      </c>
    </row>
    <row r="9" spans="1:126" x14ac:dyDescent="0.2">
      <c r="A9" s="3">
        <v>452</v>
      </c>
      <c r="B9" s="2" t="s">
        <v>121</v>
      </c>
      <c r="C9" t="s">
        <v>1</v>
      </c>
      <c r="D9">
        <v>8</v>
      </c>
      <c r="E9" s="1">
        <v>698</v>
      </c>
      <c r="F9" s="4">
        <v>0.85099999999999998</v>
      </c>
      <c r="G9">
        <v>594</v>
      </c>
      <c r="H9" s="6">
        <v>195277</v>
      </c>
      <c r="I9" s="6"/>
      <c r="J9" s="6">
        <v>381744</v>
      </c>
      <c r="K9" s="6">
        <v>67876</v>
      </c>
      <c r="L9" s="6">
        <v>13909</v>
      </c>
      <c r="M9" s="6">
        <v>78183</v>
      </c>
      <c r="N9" s="6">
        <v>60194</v>
      </c>
      <c r="O9" s="6">
        <v>455355</v>
      </c>
      <c r="P9" s="6">
        <v>112569</v>
      </c>
      <c r="Q9" s="6"/>
      <c r="R9" s="6"/>
      <c r="S9" s="6"/>
      <c r="T9" s="6"/>
      <c r="U9" s="6"/>
      <c r="V9" s="6"/>
      <c r="W9" s="6"/>
      <c r="X9" s="6"/>
      <c r="Y9" s="6"/>
      <c r="Z9" s="6"/>
      <c r="AA9" s="6"/>
      <c r="AB9" s="6"/>
      <c r="AC9" s="6"/>
      <c r="AD9" s="6">
        <v>315580</v>
      </c>
      <c r="AE9" s="6">
        <v>225138</v>
      </c>
      <c r="AF9" s="6">
        <v>562845</v>
      </c>
      <c r="AG9" s="6">
        <v>2026242</v>
      </c>
      <c r="AH9" s="6"/>
      <c r="AI9" s="6">
        <v>262416</v>
      </c>
      <c r="AJ9" s="6"/>
      <c r="AK9" s="6">
        <v>110030</v>
      </c>
      <c r="AL9" s="6"/>
      <c r="AM9" s="6"/>
      <c r="AN9" s="6"/>
      <c r="AO9" s="6">
        <v>112569</v>
      </c>
      <c r="AP9" s="6"/>
      <c r="AQ9" s="6"/>
      <c r="AR9" s="6"/>
      <c r="AS9" s="6"/>
      <c r="AT9" s="6"/>
      <c r="AU9" s="6"/>
      <c r="AV9" s="6">
        <v>70000</v>
      </c>
      <c r="AW9" s="6">
        <v>0</v>
      </c>
      <c r="AX9" s="6"/>
      <c r="AY9" s="6"/>
      <c r="AZ9" s="6">
        <v>546672.42000000004</v>
      </c>
      <c r="BA9" s="6"/>
      <c r="BB9" s="6"/>
      <c r="BC9" s="6"/>
      <c r="BD9" s="6">
        <v>156529</v>
      </c>
      <c r="BE9" s="6">
        <v>23216</v>
      </c>
      <c r="BF9" s="6">
        <v>22000</v>
      </c>
      <c r="BG9" s="6">
        <v>32000</v>
      </c>
      <c r="BH9" s="6"/>
      <c r="BI9" s="6"/>
      <c r="BJ9" s="6"/>
      <c r="BK9" s="6"/>
      <c r="BL9" s="6"/>
      <c r="BM9" s="6"/>
      <c r="BN9" s="6">
        <v>112569</v>
      </c>
      <c r="BO9" s="6"/>
      <c r="BP9" s="6">
        <v>113946</v>
      </c>
      <c r="BQ9" s="6">
        <v>5000</v>
      </c>
      <c r="BR9" s="6"/>
      <c r="BS9" s="6"/>
      <c r="BT9" s="6"/>
      <c r="BU9" s="6">
        <v>288612</v>
      </c>
      <c r="BV9" s="6">
        <v>117087</v>
      </c>
      <c r="BW9" s="6"/>
      <c r="BX9" s="6">
        <v>1667189</v>
      </c>
      <c r="BY9" s="6"/>
      <c r="BZ9" s="6"/>
      <c r="CA9" s="6"/>
      <c r="CB9" s="6"/>
      <c r="CC9" s="6"/>
      <c r="CD9" s="6"/>
      <c r="CE9" s="6"/>
      <c r="CF9" s="6">
        <v>0</v>
      </c>
      <c r="CG9" s="6">
        <f t="shared" si="0"/>
        <v>8134747.4199999999</v>
      </c>
      <c r="CI9" s="6">
        <v>112569</v>
      </c>
      <c r="CJ9" s="6">
        <v>360017</v>
      </c>
      <c r="CK9" s="6">
        <v>90879</v>
      </c>
      <c r="CL9" s="6">
        <v>86086</v>
      </c>
      <c r="CM9" s="6">
        <v>56854</v>
      </c>
      <c r="CN9" s="6">
        <f>139018-DF9</f>
        <v>69509</v>
      </c>
      <c r="CO9" s="6"/>
      <c r="CP9" s="6"/>
      <c r="CQ9" s="6">
        <f>4512891-DH9</f>
        <v>3273881.5399999996</v>
      </c>
      <c r="CR9" s="6"/>
      <c r="CS9" s="6"/>
      <c r="CT9" s="6"/>
      <c r="CU9" s="6"/>
      <c r="CV9" s="6">
        <v>117087</v>
      </c>
      <c r="CW9" s="6"/>
      <c r="CX9" s="6">
        <v>25702</v>
      </c>
      <c r="CY9" s="6">
        <v>75000</v>
      </c>
      <c r="CZ9" s="6"/>
      <c r="DB9" s="6"/>
      <c r="DC9" s="6"/>
      <c r="DF9" s="6">
        <v>69509</v>
      </c>
      <c r="DG9" s="6"/>
      <c r="DH9" s="6">
        <f>'[2]pdf DetailxSch Pos'!AE7*'[2]pdf DetailxSch Pos'!AE$122</f>
        <v>1239009.4600000004</v>
      </c>
      <c r="DI9" s="6"/>
      <c r="DJ9" s="6"/>
      <c r="DK9" s="6"/>
      <c r="DL9" s="6">
        <v>23798</v>
      </c>
      <c r="DM9" s="6"/>
      <c r="DN9" s="6">
        <v>117087</v>
      </c>
      <c r="DO9" s="6"/>
      <c r="DP9" s="6">
        <v>44625</v>
      </c>
      <c r="DU9" s="6">
        <f>VLOOKUP($A9,[3]Totals!$B$2:$K$119,10,FALSE)</f>
        <v>365689.27</v>
      </c>
      <c r="DV9" s="6">
        <f>VLOOKUP($A9,[3]Totals!$B$2:$K$119,9,FALSE)</f>
        <v>292718</v>
      </c>
    </row>
    <row r="10" spans="1:126" x14ac:dyDescent="0.2">
      <c r="A10" s="3">
        <v>462</v>
      </c>
      <c r="B10" s="2" t="s">
        <v>120</v>
      </c>
      <c r="C10" t="s">
        <v>35</v>
      </c>
      <c r="D10">
        <v>8</v>
      </c>
      <c r="E10" s="1">
        <v>469</v>
      </c>
      <c r="F10" s="4">
        <v>0</v>
      </c>
      <c r="G10">
        <v>0</v>
      </c>
      <c r="H10" s="6">
        <v>195277</v>
      </c>
      <c r="I10" s="6"/>
      <c r="J10" s="6">
        <v>254496</v>
      </c>
      <c r="K10" s="6">
        <v>67876</v>
      </c>
      <c r="L10" s="6">
        <v>5974</v>
      </c>
      <c r="M10" s="6">
        <v>78183</v>
      </c>
      <c r="N10" s="6">
        <v>60194</v>
      </c>
      <c r="O10" s="6">
        <v>50595</v>
      </c>
      <c r="P10" s="6">
        <f>91547+15105+5917.07</f>
        <v>112569.07</v>
      </c>
      <c r="Q10" s="6"/>
      <c r="R10" s="6"/>
      <c r="S10" s="6"/>
      <c r="T10" s="6"/>
      <c r="U10" s="6"/>
      <c r="V10" s="6"/>
      <c r="W10" s="6"/>
      <c r="X10" s="6"/>
      <c r="Y10" s="6"/>
      <c r="Z10" s="6"/>
      <c r="AA10" s="6"/>
      <c r="AB10" s="6"/>
      <c r="AC10" s="6"/>
      <c r="AD10" s="6">
        <v>179295</v>
      </c>
      <c r="AE10" s="6">
        <v>112569</v>
      </c>
      <c r="AF10" s="6">
        <v>337707</v>
      </c>
      <c r="AG10" s="6">
        <v>1125690</v>
      </c>
      <c r="AH10" s="6"/>
      <c r="AI10" s="6">
        <v>74976</v>
      </c>
      <c r="AJ10" s="6"/>
      <c r="AK10" s="6">
        <v>55015</v>
      </c>
      <c r="AL10" s="6"/>
      <c r="AM10" s="6"/>
      <c r="AN10" s="6"/>
      <c r="AO10" s="6"/>
      <c r="AP10" s="6">
        <v>25891</v>
      </c>
      <c r="AQ10" s="6"/>
      <c r="AR10" s="6"/>
      <c r="AS10" s="6"/>
      <c r="AT10" s="6"/>
      <c r="AU10" s="6"/>
      <c r="AV10" s="6">
        <v>70000</v>
      </c>
      <c r="AW10" s="6">
        <v>0</v>
      </c>
      <c r="AX10" s="6"/>
      <c r="AY10" s="6"/>
      <c r="AZ10" s="6">
        <v>0</v>
      </c>
      <c r="BA10" s="6"/>
      <c r="BB10" s="6">
        <v>11725</v>
      </c>
      <c r="BC10" s="6"/>
      <c r="BD10" s="6"/>
      <c r="BE10" s="6"/>
      <c r="BF10" s="6"/>
      <c r="BG10" s="6"/>
      <c r="BH10" s="6"/>
      <c r="BI10" s="6"/>
      <c r="BJ10" s="6"/>
      <c r="BK10" s="6"/>
      <c r="BL10" s="6"/>
      <c r="BM10" s="6"/>
      <c r="BN10" s="6"/>
      <c r="BO10" s="6"/>
      <c r="BP10" s="6"/>
      <c r="BQ10" s="6"/>
      <c r="BR10" s="6"/>
      <c r="BS10" s="6"/>
      <c r="BT10" s="6"/>
      <c r="BU10" s="6"/>
      <c r="BV10" s="6"/>
      <c r="BW10" s="6"/>
      <c r="BX10" s="6">
        <v>0</v>
      </c>
      <c r="BY10" s="6"/>
      <c r="BZ10" s="6"/>
      <c r="CA10" s="6"/>
      <c r="CB10" s="6"/>
      <c r="CC10" s="6"/>
      <c r="CD10" s="6"/>
      <c r="CE10" s="6"/>
      <c r="CF10" s="6">
        <v>150569</v>
      </c>
      <c r="CG10" s="6">
        <f t="shared" si="0"/>
        <v>2968601.0700000003</v>
      </c>
      <c r="CI10" s="6">
        <v>112569</v>
      </c>
      <c r="CJ10" s="6">
        <v>244185</v>
      </c>
      <c r="CK10" s="6">
        <v>90879</v>
      </c>
      <c r="CL10" s="6">
        <v>60767</v>
      </c>
      <c r="CM10" s="6"/>
      <c r="CN10" s="6">
        <v>69509</v>
      </c>
      <c r="CO10" s="6"/>
      <c r="CP10" s="6"/>
      <c r="CQ10" s="6">
        <v>1824743</v>
      </c>
      <c r="CR10" s="6"/>
      <c r="CS10" s="6"/>
      <c r="CT10" s="6"/>
      <c r="CU10" s="6"/>
      <c r="CV10" s="6"/>
      <c r="CW10" s="6"/>
      <c r="CX10" s="6">
        <v>0</v>
      </c>
      <c r="CY10" s="6"/>
      <c r="CZ10" s="6"/>
      <c r="DB10" s="6"/>
      <c r="DC10" s="6"/>
      <c r="DF10" s="6"/>
      <c r="DG10" s="6"/>
      <c r="DH10" s="6"/>
      <c r="DI10" s="6"/>
      <c r="DJ10" s="6"/>
      <c r="DK10" s="6"/>
      <c r="DL10" s="6"/>
      <c r="DM10" s="6">
        <v>3025</v>
      </c>
      <c r="DN10" s="6">
        <v>117087</v>
      </c>
      <c r="DO10" s="6">
        <v>150000</v>
      </c>
      <c r="DP10" s="6"/>
      <c r="DU10" s="6">
        <f>VLOOKUP($A10,[3]Totals!$B$2:$K$119,10,FALSE)</f>
        <v>230228.14</v>
      </c>
      <c r="DV10" s="6">
        <f>VLOOKUP($A10,[3]Totals!$B$2:$K$119,9,FALSE)</f>
        <v>112569</v>
      </c>
    </row>
    <row r="11" spans="1:126" x14ac:dyDescent="0.2">
      <c r="A11" s="3">
        <v>204</v>
      </c>
      <c r="B11" s="2" t="s">
        <v>119</v>
      </c>
      <c r="C11" t="s">
        <v>7</v>
      </c>
      <c r="D11">
        <v>1</v>
      </c>
      <c r="E11" s="1">
        <v>662</v>
      </c>
      <c r="F11" s="4">
        <v>0.27300000000000002</v>
      </c>
      <c r="G11">
        <v>181</v>
      </c>
      <c r="H11" s="6">
        <v>195277</v>
      </c>
      <c r="I11" s="6"/>
      <c r="J11" s="6"/>
      <c r="K11" s="6">
        <v>67876</v>
      </c>
      <c r="L11" s="6">
        <v>9493</v>
      </c>
      <c r="M11" s="6">
        <v>78183</v>
      </c>
      <c r="N11" s="6">
        <v>60194</v>
      </c>
      <c r="O11" s="6">
        <v>202380</v>
      </c>
      <c r="P11" s="6">
        <v>112569</v>
      </c>
      <c r="Q11" s="6">
        <v>337707</v>
      </c>
      <c r="R11" s="6"/>
      <c r="S11" s="6">
        <v>337707</v>
      </c>
      <c r="T11" s="6">
        <v>224928</v>
      </c>
      <c r="U11" s="6"/>
      <c r="V11" s="6"/>
      <c r="W11" s="6"/>
      <c r="X11" s="6"/>
      <c r="Y11" s="6"/>
      <c r="Z11" s="6"/>
      <c r="AA11" s="6"/>
      <c r="AB11" s="6"/>
      <c r="AC11" s="6"/>
      <c r="AD11" s="6">
        <v>244939</v>
      </c>
      <c r="AE11" s="6">
        <v>112569</v>
      </c>
      <c r="AF11" s="6">
        <v>225138</v>
      </c>
      <c r="AG11" s="6">
        <v>1125690</v>
      </c>
      <c r="AH11" s="6"/>
      <c r="AI11" s="6">
        <v>149952</v>
      </c>
      <c r="AJ11" s="6"/>
      <c r="AK11" s="6"/>
      <c r="AL11" s="6"/>
      <c r="AM11" s="6"/>
      <c r="AN11" s="6"/>
      <c r="AO11" s="6">
        <v>1688535</v>
      </c>
      <c r="AP11" s="6"/>
      <c r="AQ11" s="6"/>
      <c r="AR11" s="6"/>
      <c r="AS11" s="6">
        <f>34000-13600</f>
        <v>20400</v>
      </c>
      <c r="AT11" s="6">
        <f>34000-13600</f>
        <v>20400</v>
      </c>
      <c r="AU11" s="6">
        <v>10200</v>
      </c>
      <c r="AV11" s="6"/>
      <c r="AW11" s="6">
        <v>27200</v>
      </c>
      <c r="AX11" s="6"/>
      <c r="AY11" s="6"/>
      <c r="AZ11" s="6">
        <v>300172.09000000003</v>
      </c>
      <c r="BA11" s="6"/>
      <c r="BB11" s="6"/>
      <c r="BC11" s="6"/>
      <c r="BD11" s="6"/>
      <c r="BE11" s="6"/>
      <c r="BF11" s="6"/>
      <c r="BG11" s="6"/>
      <c r="BH11" s="6"/>
      <c r="BI11" s="6"/>
      <c r="BJ11" s="6"/>
      <c r="BK11" s="6"/>
      <c r="BL11" s="6"/>
      <c r="BM11" s="6"/>
      <c r="BN11" s="6"/>
      <c r="BO11" s="6"/>
      <c r="BP11" s="6"/>
      <c r="BQ11" s="6"/>
      <c r="BR11" s="6"/>
      <c r="BS11" s="6"/>
      <c r="BT11" s="6"/>
      <c r="BU11" s="6"/>
      <c r="BV11" s="6"/>
      <c r="BW11" s="6"/>
      <c r="BX11" s="6">
        <v>458205</v>
      </c>
      <c r="BY11" s="6"/>
      <c r="BZ11" s="6"/>
      <c r="CA11" s="6"/>
      <c r="CB11" s="6"/>
      <c r="CC11" s="6"/>
      <c r="CD11" s="6"/>
      <c r="CE11" s="6"/>
      <c r="CF11" s="6">
        <v>0</v>
      </c>
      <c r="CG11" s="6">
        <f t="shared" si="0"/>
        <v>6009714.0899999999</v>
      </c>
      <c r="CI11" s="6">
        <v>112569</v>
      </c>
      <c r="CJ11" s="6">
        <v>266099</v>
      </c>
      <c r="CK11" s="6">
        <v>90879</v>
      </c>
      <c r="CL11" s="6">
        <v>86086</v>
      </c>
      <c r="CM11" s="6"/>
      <c r="CN11" s="6"/>
      <c r="CO11" s="6">
        <v>619130</v>
      </c>
      <c r="CP11" s="6">
        <v>149952</v>
      </c>
      <c r="CQ11" s="6">
        <v>2814225</v>
      </c>
      <c r="CR11" s="6"/>
      <c r="CS11" s="6"/>
      <c r="CT11" s="6"/>
      <c r="CU11" s="6"/>
      <c r="CV11" s="6"/>
      <c r="CW11" s="6"/>
      <c r="CX11" s="6">
        <v>0</v>
      </c>
      <c r="CY11" s="6"/>
      <c r="CZ11" s="6"/>
      <c r="DB11" s="6">
        <v>337707</v>
      </c>
      <c r="DC11" s="6"/>
      <c r="DF11" s="6"/>
      <c r="DG11" s="6"/>
      <c r="DH11" s="6"/>
      <c r="DI11" s="6"/>
      <c r="DJ11" s="6"/>
      <c r="DK11" s="6"/>
      <c r="DL11" s="6">
        <v>3629</v>
      </c>
      <c r="DM11" s="6"/>
      <c r="DN11" s="6"/>
      <c r="DO11" s="6"/>
      <c r="DP11" s="6">
        <v>18150</v>
      </c>
      <c r="DU11" s="6">
        <f>VLOOKUP($A11,[3]Totals!$B$2:$K$119,10,FALSE)</f>
        <v>148057.42000000001</v>
      </c>
      <c r="DV11" s="6">
        <f>VLOOKUP($A11,[3]Totals!$B$2:$K$119,9,FALSE)</f>
        <v>156529</v>
      </c>
    </row>
    <row r="12" spans="1:126" x14ac:dyDescent="0.2">
      <c r="A12" s="3">
        <v>1058</v>
      </c>
      <c r="B12" s="2" t="s">
        <v>118</v>
      </c>
      <c r="C12" t="s">
        <v>1</v>
      </c>
      <c r="D12">
        <v>7</v>
      </c>
      <c r="E12" s="1">
        <v>385</v>
      </c>
      <c r="F12" s="4">
        <v>0.55100000000000005</v>
      </c>
      <c r="G12">
        <v>212</v>
      </c>
      <c r="H12" s="6">
        <v>195277</v>
      </c>
      <c r="I12" s="6"/>
      <c r="J12" s="6">
        <v>254496</v>
      </c>
      <c r="K12" s="6">
        <v>67876</v>
      </c>
      <c r="L12" s="6">
        <v>6327</v>
      </c>
      <c r="M12" s="6">
        <v>78183</v>
      </c>
      <c r="N12" s="6">
        <v>60194</v>
      </c>
      <c r="O12" s="6">
        <v>101190</v>
      </c>
      <c r="P12" s="6">
        <v>112569</v>
      </c>
      <c r="Q12" s="6"/>
      <c r="R12" s="6"/>
      <c r="S12" s="6"/>
      <c r="T12" s="6"/>
      <c r="U12" s="6"/>
      <c r="V12" s="6"/>
      <c r="W12" s="6"/>
      <c r="X12" s="6"/>
      <c r="Y12" s="6"/>
      <c r="Z12" s="6"/>
      <c r="AA12" s="6"/>
      <c r="AB12" s="6"/>
      <c r="AC12" s="6"/>
      <c r="AD12" s="6">
        <v>143154</v>
      </c>
      <c r="AE12" s="6">
        <v>112569</v>
      </c>
      <c r="AF12" s="6">
        <v>112569</v>
      </c>
      <c r="AG12" s="6">
        <v>225138</v>
      </c>
      <c r="AH12" s="6"/>
      <c r="AI12" s="6"/>
      <c r="AJ12" s="6"/>
      <c r="AK12" s="6"/>
      <c r="AL12" s="6"/>
      <c r="AM12" s="6"/>
      <c r="AN12" s="6"/>
      <c r="AO12" s="6"/>
      <c r="AP12" s="6">
        <v>20262</v>
      </c>
      <c r="AQ12" s="6"/>
      <c r="AR12" s="6"/>
      <c r="AS12" s="6"/>
      <c r="AT12" s="6"/>
      <c r="AU12" s="6"/>
      <c r="AV12" s="6">
        <v>25000</v>
      </c>
      <c r="AW12" s="6">
        <v>0</v>
      </c>
      <c r="AX12" s="6"/>
      <c r="AY12" s="6"/>
      <c r="AZ12" s="6">
        <v>127469.34000000001</v>
      </c>
      <c r="BA12" s="6"/>
      <c r="BB12" s="6"/>
      <c r="BC12" s="6"/>
      <c r="BD12" s="6"/>
      <c r="BE12" s="6"/>
      <c r="BF12" s="6"/>
      <c r="BG12" s="6"/>
      <c r="BH12" s="6"/>
      <c r="BI12" s="6"/>
      <c r="BJ12" s="6"/>
      <c r="BK12" s="6"/>
      <c r="BL12" s="6"/>
      <c r="BM12" s="6"/>
      <c r="BN12" s="6"/>
      <c r="BO12" s="6"/>
      <c r="BP12" s="6"/>
      <c r="BQ12" s="6"/>
      <c r="BR12" s="6"/>
      <c r="BS12" s="6">
        <v>800000</v>
      </c>
      <c r="BT12" s="6"/>
      <c r="BU12" s="6"/>
      <c r="BV12" s="6"/>
      <c r="BW12" s="6"/>
      <c r="BX12" s="6">
        <v>595024</v>
      </c>
      <c r="BY12" s="6"/>
      <c r="BZ12" s="6"/>
      <c r="CA12" s="6"/>
      <c r="CB12" s="6"/>
      <c r="CC12" s="6"/>
      <c r="CD12" s="6"/>
      <c r="CE12" s="6"/>
      <c r="CF12" s="6">
        <v>56285</v>
      </c>
      <c r="CG12" s="6">
        <f t="shared" si="0"/>
        <v>3093582.34</v>
      </c>
      <c r="CI12" s="6">
        <v>112569</v>
      </c>
      <c r="CJ12" s="6">
        <v>203488</v>
      </c>
      <c r="CK12" s="6">
        <v>90879</v>
      </c>
      <c r="CL12" s="6"/>
      <c r="CM12" s="6">
        <v>56854</v>
      </c>
      <c r="CN12" s="6">
        <v>69509</v>
      </c>
      <c r="CO12" s="6"/>
      <c r="CP12" s="6"/>
      <c r="CQ12" s="6">
        <v>1801104</v>
      </c>
      <c r="CR12" s="6"/>
      <c r="CS12" s="6"/>
      <c r="CT12" s="6"/>
      <c r="CU12" s="6"/>
      <c r="CV12" s="6">
        <v>117087</v>
      </c>
      <c r="CW12" s="6"/>
      <c r="CX12" s="6">
        <v>0</v>
      </c>
      <c r="CY12" s="6"/>
      <c r="CZ12" s="6"/>
      <c r="DB12" s="6"/>
      <c r="DC12" s="6"/>
      <c r="DF12" s="6"/>
      <c r="DG12" s="6"/>
      <c r="DH12" s="6">
        <f>'[2]pdf DetailxSch Pos'!AE10*'[2]pdf DetailxSch Pos'!AE$122</f>
        <v>0</v>
      </c>
      <c r="DI12" s="6"/>
      <c r="DJ12" s="6"/>
      <c r="DK12" s="6"/>
      <c r="DL12" s="6"/>
      <c r="DM12" s="6"/>
      <c r="DN12" s="6"/>
      <c r="DO12" s="6"/>
      <c r="DP12" s="6">
        <v>18152</v>
      </c>
      <c r="DU12" s="6">
        <f>VLOOKUP($A12,[3]Totals!$B$2:$K$119,10,FALSE)</f>
        <v>139008.12</v>
      </c>
      <c r="DV12" s="6">
        <f>VLOOKUP($A12,[3]Totals!$B$2:$K$119,9,FALSE)</f>
        <v>104158</v>
      </c>
    </row>
    <row r="13" spans="1:126" x14ac:dyDescent="0.2">
      <c r="A13" s="3">
        <v>205</v>
      </c>
      <c r="B13" s="2" t="s">
        <v>117</v>
      </c>
      <c r="C13" t="s">
        <v>7</v>
      </c>
      <c r="D13">
        <v>4</v>
      </c>
      <c r="E13" s="1">
        <v>640</v>
      </c>
      <c r="F13" s="4">
        <v>0.44500000000000001</v>
      </c>
      <c r="G13">
        <v>285</v>
      </c>
      <c r="H13" s="6">
        <v>195277</v>
      </c>
      <c r="I13" s="6"/>
      <c r="J13" s="6"/>
      <c r="K13" s="6">
        <v>67876</v>
      </c>
      <c r="L13" s="6">
        <v>6572</v>
      </c>
      <c r="M13" s="6">
        <v>78183</v>
      </c>
      <c r="N13" s="6">
        <v>60194</v>
      </c>
      <c r="O13" s="6">
        <v>151785</v>
      </c>
      <c r="P13" s="6">
        <v>112569</v>
      </c>
      <c r="Q13" s="6">
        <v>450276</v>
      </c>
      <c r="R13" s="6"/>
      <c r="S13" s="6">
        <v>450276</v>
      </c>
      <c r="T13" s="6">
        <v>299904</v>
      </c>
      <c r="U13" s="6"/>
      <c r="V13" s="6"/>
      <c r="W13" s="6"/>
      <c r="X13" s="6"/>
      <c r="Y13" s="6"/>
      <c r="Z13" s="6"/>
      <c r="AA13" s="6"/>
      <c r="AB13" s="6"/>
      <c r="AC13" s="6"/>
      <c r="AD13" s="6">
        <v>237654</v>
      </c>
      <c r="AE13" s="6">
        <v>112569</v>
      </c>
      <c r="AF13" s="6">
        <v>225138</v>
      </c>
      <c r="AG13" s="6">
        <v>900552</v>
      </c>
      <c r="AH13" s="6"/>
      <c r="AI13" s="6">
        <v>224928</v>
      </c>
      <c r="AJ13" s="6"/>
      <c r="AK13" s="6"/>
      <c r="AL13" s="6"/>
      <c r="AM13" s="6"/>
      <c r="AN13" s="6"/>
      <c r="AO13" s="6">
        <v>1575966</v>
      </c>
      <c r="AP13" s="6"/>
      <c r="AQ13" s="6"/>
      <c r="AR13" s="6"/>
      <c r="AS13" s="6">
        <f>142800-74800</f>
        <v>68000</v>
      </c>
      <c r="AT13" s="6">
        <f>142800-74800</f>
        <v>68000</v>
      </c>
      <c r="AU13" s="6">
        <v>10200</v>
      </c>
      <c r="AV13" s="6"/>
      <c r="AW13" s="6">
        <v>149600</v>
      </c>
      <c r="AX13" s="6"/>
      <c r="AY13" s="6"/>
      <c r="AZ13" s="6">
        <v>290196.18</v>
      </c>
      <c r="BA13" s="6"/>
      <c r="BB13" s="6"/>
      <c r="BC13" s="6"/>
      <c r="BD13" s="6"/>
      <c r="BE13" s="6"/>
      <c r="BF13" s="6"/>
      <c r="BG13" s="6"/>
      <c r="BH13" s="6"/>
      <c r="BI13" s="6"/>
      <c r="BJ13" s="6"/>
      <c r="BK13" s="6"/>
      <c r="BL13" s="6"/>
      <c r="BM13" s="6"/>
      <c r="BN13" s="6"/>
      <c r="BO13" s="6"/>
      <c r="BP13" s="6"/>
      <c r="BQ13" s="6"/>
      <c r="BR13" s="6"/>
      <c r="BS13" s="6"/>
      <c r="BT13" s="6"/>
      <c r="BU13" s="6"/>
      <c r="BV13" s="6"/>
      <c r="BW13" s="6"/>
      <c r="BX13" s="6">
        <v>721483.46</v>
      </c>
      <c r="BY13" s="6"/>
      <c r="BZ13" s="6"/>
      <c r="CA13" s="6"/>
      <c r="CB13" s="6"/>
      <c r="CC13" s="6"/>
      <c r="CD13" s="6"/>
      <c r="CE13" s="6"/>
      <c r="CF13" s="6">
        <v>0</v>
      </c>
      <c r="CG13" s="6">
        <f t="shared" si="0"/>
        <v>6457198.6399999997</v>
      </c>
      <c r="CI13" s="6">
        <v>112569</v>
      </c>
      <c r="CJ13" s="6">
        <v>250446</v>
      </c>
      <c r="CK13" s="6">
        <v>90879</v>
      </c>
      <c r="CL13" s="6">
        <v>81022</v>
      </c>
      <c r="CM13" s="6"/>
      <c r="CN13" s="6"/>
      <c r="CO13" s="6">
        <v>619130</v>
      </c>
      <c r="CP13" s="6">
        <v>149952</v>
      </c>
      <c r="CQ13" s="6">
        <v>2589087</v>
      </c>
      <c r="CR13" s="6"/>
      <c r="CS13" s="6"/>
      <c r="CT13" s="6"/>
      <c r="CU13" s="6"/>
      <c r="CV13" s="6"/>
      <c r="CW13" s="6"/>
      <c r="CX13" s="6">
        <v>0</v>
      </c>
      <c r="CY13" s="6"/>
      <c r="CZ13" s="6"/>
      <c r="DB13" s="6">
        <v>337707</v>
      </c>
      <c r="DC13" s="6"/>
      <c r="DF13" s="6"/>
      <c r="DG13" s="6"/>
      <c r="DH13" s="6"/>
      <c r="DI13" s="6"/>
      <c r="DJ13" s="6"/>
      <c r="DK13" s="6"/>
      <c r="DL13" s="6">
        <v>5701</v>
      </c>
      <c r="DM13" s="6"/>
      <c r="DN13" s="6"/>
      <c r="DO13" s="6"/>
      <c r="DP13" s="6">
        <v>22275</v>
      </c>
      <c r="DU13" s="6">
        <f>VLOOKUP($A13,[3]Totals!$B$2:$K$119,10,FALSE)</f>
        <v>122274.11</v>
      </c>
      <c r="DV13" s="6">
        <f>VLOOKUP($A13,[3]Totals!$B$2:$K$119,9,FALSE)</f>
        <v>0</v>
      </c>
    </row>
    <row r="14" spans="1:126" x14ac:dyDescent="0.2">
      <c r="A14" s="3">
        <v>206</v>
      </c>
      <c r="B14" s="2" t="s">
        <v>116</v>
      </c>
      <c r="C14" t="s">
        <v>7</v>
      </c>
      <c r="D14">
        <v>7</v>
      </c>
      <c r="E14" s="1">
        <v>456</v>
      </c>
      <c r="F14" s="4">
        <v>0.53500000000000003</v>
      </c>
      <c r="G14">
        <v>244</v>
      </c>
      <c r="H14" s="6">
        <v>195277</v>
      </c>
      <c r="I14" s="6"/>
      <c r="J14" s="6"/>
      <c r="K14" s="6">
        <v>67876</v>
      </c>
      <c r="L14" s="6">
        <v>6170</v>
      </c>
      <c r="M14" s="6">
        <v>78183</v>
      </c>
      <c r="N14" s="6">
        <v>60194</v>
      </c>
      <c r="O14" s="6">
        <v>101190</v>
      </c>
      <c r="P14" s="6">
        <v>112569</v>
      </c>
      <c r="Q14" s="6">
        <v>225138</v>
      </c>
      <c r="R14" s="6">
        <v>112569</v>
      </c>
      <c r="S14" s="6">
        <v>225138</v>
      </c>
      <c r="T14" s="6">
        <v>187440</v>
      </c>
      <c r="U14" s="6"/>
      <c r="V14" s="6"/>
      <c r="W14" s="6"/>
      <c r="X14" s="6"/>
      <c r="Y14" s="6"/>
      <c r="Z14" s="6"/>
      <c r="AA14" s="6"/>
      <c r="AB14" s="6"/>
      <c r="AC14" s="6"/>
      <c r="AD14" s="6">
        <v>170626</v>
      </c>
      <c r="AE14" s="6">
        <v>112569</v>
      </c>
      <c r="AF14" s="6">
        <v>225138</v>
      </c>
      <c r="AG14" s="6">
        <v>1125690</v>
      </c>
      <c r="AH14" s="6"/>
      <c r="AI14" s="6">
        <v>449856</v>
      </c>
      <c r="AJ14" s="6"/>
      <c r="AK14" s="6"/>
      <c r="AL14" s="6">
        <v>117087</v>
      </c>
      <c r="AM14" s="6"/>
      <c r="AN14" s="6"/>
      <c r="AO14" s="6"/>
      <c r="AP14" s="6">
        <v>5628</v>
      </c>
      <c r="AQ14" s="6"/>
      <c r="AR14" s="6"/>
      <c r="AS14" s="6">
        <f>61200-34000</f>
        <v>27200</v>
      </c>
      <c r="AT14" s="6">
        <f>61200-34000</f>
        <v>27200</v>
      </c>
      <c r="AU14" s="6"/>
      <c r="AV14" s="6"/>
      <c r="AW14" s="6">
        <v>68000</v>
      </c>
      <c r="AX14" s="6"/>
      <c r="AY14" s="6"/>
      <c r="AZ14" s="6">
        <v>206764.29000000004</v>
      </c>
      <c r="BA14" s="6"/>
      <c r="BB14" s="6"/>
      <c r="BC14" s="6"/>
      <c r="BD14" s="6"/>
      <c r="BE14" s="6"/>
      <c r="BF14" s="6"/>
      <c r="BG14" s="6"/>
      <c r="BH14" s="6"/>
      <c r="BI14" s="6"/>
      <c r="BJ14" s="6"/>
      <c r="BK14" s="6"/>
      <c r="BL14" s="6"/>
      <c r="BM14" s="6"/>
      <c r="BN14" s="6"/>
      <c r="BO14" s="6"/>
      <c r="BP14" s="6"/>
      <c r="BQ14" s="6"/>
      <c r="BR14" s="6">
        <v>13859</v>
      </c>
      <c r="BS14" s="6"/>
      <c r="BT14" s="6"/>
      <c r="BU14" s="6"/>
      <c r="BV14" s="6"/>
      <c r="BW14" s="6"/>
      <c r="BX14" s="6">
        <v>617691</v>
      </c>
      <c r="BY14" s="6"/>
      <c r="BZ14" s="6"/>
      <c r="CA14" s="6"/>
      <c r="CB14" s="6"/>
      <c r="CC14" s="6"/>
      <c r="CD14" s="6"/>
      <c r="CE14" s="6"/>
      <c r="CF14" s="6">
        <v>10200</v>
      </c>
      <c r="CG14" s="6">
        <f t="shared" si="0"/>
        <v>4549252.29</v>
      </c>
      <c r="CI14" s="6">
        <v>112569</v>
      </c>
      <c r="CJ14" s="6">
        <v>172182</v>
      </c>
      <c r="CK14" s="6">
        <v>90879</v>
      </c>
      <c r="CL14" s="6">
        <v>55703</v>
      </c>
      <c r="CM14" s="6"/>
      <c r="CN14" s="6"/>
      <c r="CO14" s="6">
        <v>506561</v>
      </c>
      <c r="CP14" s="6">
        <v>112464</v>
      </c>
      <c r="CQ14" s="6">
        <v>2138811</v>
      </c>
      <c r="CR14" s="6"/>
      <c r="CS14" s="6"/>
      <c r="CT14" s="6"/>
      <c r="CU14" s="6"/>
      <c r="CV14" s="6"/>
      <c r="CW14" s="6"/>
      <c r="CX14" s="6">
        <v>0</v>
      </c>
      <c r="CY14" s="6"/>
      <c r="CZ14" s="6"/>
      <c r="DB14" s="6"/>
      <c r="DC14" s="6"/>
      <c r="DF14" s="6"/>
      <c r="DG14" s="6"/>
      <c r="DH14" s="6"/>
      <c r="DI14" s="6"/>
      <c r="DJ14" s="6"/>
      <c r="DK14" s="6"/>
      <c r="DL14" s="6">
        <v>4884</v>
      </c>
      <c r="DM14" s="6"/>
      <c r="DN14" s="6"/>
      <c r="DO14" s="6"/>
      <c r="DP14" s="6">
        <v>31525</v>
      </c>
      <c r="DU14" s="6">
        <f>VLOOKUP($A14,[3]Totals!$B$2:$K$119,10,FALSE)</f>
        <v>232342.93</v>
      </c>
      <c r="DV14" s="6">
        <f>VLOOKUP($A14,[3]Totals!$B$2:$K$119,9,FALSE)</f>
        <v>296221</v>
      </c>
    </row>
    <row r="15" spans="1:126" x14ac:dyDescent="0.2">
      <c r="A15" s="3">
        <v>402</v>
      </c>
      <c r="B15" s="2" t="s">
        <v>115</v>
      </c>
      <c r="C15" t="s">
        <v>1</v>
      </c>
      <c r="D15">
        <v>1</v>
      </c>
      <c r="E15" s="1">
        <v>572</v>
      </c>
      <c r="F15" s="4">
        <v>0.24099999999999999</v>
      </c>
      <c r="G15">
        <v>138</v>
      </c>
      <c r="H15" s="6">
        <v>195277</v>
      </c>
      <c r="I15" s="6"/>
      <c r="J15" s="6">
        <v>318120</v>
      </c>
      <c r="K15" s="6">
        <v>67876</v>
      </c>
      <c r="L15" s="6">
        <v>11859</v>
      </c>
      <c r="M15" s="6">
        <v>78183</v>
      </c>
      <c r="N15" s="6">
        <v>60194</v>
      </c>
      <c r="O15" s="6">
        <v>252975</v>
      </c>
      <c r="P15" s="6">
        <v>112569</v>
      </c>
      <c r="Q15" s="6"/>
      <c r="R15" s="6"/>
      <c r="S15" s="6"/>
      <c r="T15" s="6"/>
      <c r="U15" s="6"/>
      <c r="V15" s="6"/>
      <c r="W15" s="6"/>
      <c r="X15" s="6"/>
      <c r="Y15" s="6"/>
      <c r="Z15" s="6"/>
      <c r="AA15" s="6"/>
      <c r="AB15" s="6"/>
      <c r="AC15" s="6"/>
      <c r="AD15" s="6">
        <v>203608</v>
      </c>
      <c r="AE15" s="6">
        <v>112569</v>
      </c>
      <c r="AF15" s="6">
        <v>112569</v>
      </c>
      <c r="AG15" s="6">
        <v>112569</v>
      </c>
      <c r="AH15" s="6"/>
      <c r="AI15" s="6"/>
      <c r="AJ15" s="6"/>
      <c r="AK15" s="6"/>
      <c r="AL15" s="6"/>
      <c r="AM15" s="6"/>
      <c r="AN15" s="6"/>
      <c r="AO15" s="6"/>
      <c r="AP15" s="6">
        <v>36022</v>
      </c>
      <c r="AQ15" s="6"/>
      <c r="AR15" s="6"/>
      <c r="AS15" s="6"/>
      <c r="AT15" s="6"/>
      <c r="AU15" s="6"/>
      <c r="AV15" s="6"/>
      <c r="AW15" s="6">
        <v>0</v>
      </c>
      <c r="AX15" s="6"/>
      <c r="AY15" s="6"/>
      <c r="AZ15" s="6">
        <v>82434.090000000011</v>
      </c>
      <c r="BA15" s="6"/>
      <c r="BB15" s="6"/>
      <c r="BC15" s="6"/>
      <c r="BD15" s="6"/>
      <c r="BE15" s="6"/>
      <c r="BF15" s="6"/>
      <c r="BG15" s="6"/>
      <c r="BH15" s="6">
        <v>117087</v>
      </c>
      <c r="BI15" s="6">
        <v>34130</v>
      </c>
      <c r="BJ15" s="6"/>
      <c r="BK15" s="6"/>
      <c r="BL15" s="6"/>
      <c r="BM15" s="6"/>
      <c r="BN15" s="6"/>
      <c r="BO15" s="6"/>
      <c r="BP15" s="6"/>
      <c r="BQ15" s="6"/>
      <c r="BR15" s="6"/>
      <c r="BS15" s="6">
        <v>690480</v>
      </c>
      <c r="BT15" s="6"/>
      <c r="BU15" s="6"/>
      <c r="BV15" s="6"/>
      <c r="BW15" s="6"/>
      <c r="BX15" s="6">
        <v>387327.35</v>
      </c>
      <c r="BY15" s="6"/>
      <c r="BZ15" s="6"/>
      <c r="CA15" s="6"/>
      <c r="CB15" s="6"/>
      <c r="CC15" s="6"/>
      <c r="CD15" s="6"/>
      <c r="CE15" s="6"/>
      <c r="CF15" s="6">
        <v>0</v>
      </c>
      <c r="CG15" s="6">
        <f t="shared" si="0"/>
        <v>2985848.44</v>
      </c>
      <c r="CI15" s="6">
        <v>112569</v>
      </c>
      <c r="CJ15" s="6">
        <v>297405</v>
      </c>
      <c r="CK15" s="6">
        <v>90879</v>
      </c>
      <c r="CL15" s="6">
        <v>70895</v>
      </c>
      <c r="CM15" s="6">
        <v>56854</v>
      </c>
      <c r="CN15" s="6">
        <v>69509</v>
      </c>
      <c r="CO15" s="6"/>
      <c r="CP15" s="6"/>
      <c r="CQ15" s="6">
        <v>2679142</v>
      </c>
      <c r="CR15" s="6"/>
      <c r="CS15" s="6"/>
      <c r="CT15" s="6"/>
      <c r="CU15" s="6"/>
      <c r="CV15" s="6">
        <v>117087</v>
      </c>
      <c r="CW15" s="6"/>
      <c r="CX15" s="6">
        <v>0</v>
      </c>
      <c r="CY15" s="6"/>
      <c r="CZ15" s="6"/>
      <c r="DB15" s="6"/>
      <c r="DC15" s="6"/>
      <c r="DF15" s="6"/>
      <c r="DG15" s="6"/>
      <c r="DH15" s="6">
        <f>'[2]pdf DetailxSch Pos'!AE13*'[2]pdf DetailxSch Pos'!AE$122</f>
        <v>0</v>
      </c>
      <c r="DI15" s="6"/>
      <c r="DJ15" s="6"/>
      <c r="DK15" s="6"/>
      <c r="DL15" s="6"/>
      <c r="DM15" s="6"/>
      <c r="DN15" s="6"/>
      <c r="DO15" s="6"/>
      <c r="DP15" s="6">
        <v>175</v>
      </c>
      <c r="DU15" s="6">
        <f>VLOOKUP($A15,[3]Totals!$B$2:$K$119,10,FALSE)</f>
        <v>32614.77</v>
      </c>
      <c r="DV15" s="6">
        <f>VLOOKUP($A15,[3]Totals!$B$2:$K$119,9,FALSE)</f>
        <v>245811</v>
      </c>
    </row>
    <row r="16" spans="1:126" x14ac:dyDescent="0.2">
      <c r="A16" s="3">
        <v>291</v>
      </c>
      <c r="B16" s="2" t="s">
        <v>114</v>
      </c>
      <c r="C16" t="s">
        <v>7</v>
      </c>
      <c r="D16">
        <v>8</v>
      </c>
      <c r="E16" s="1">
        <v>434</v>
      </c>
      <c r="F16" s="4">
        <v>0.69799999999999995</v>
      </c>
      <c r="G16">
        <v>303</v>
      </c>
      <c r="H16" s="6">
        <v>195277</v>
      </c>
      <c r="I16" s="6"/>
      <c r="J16" s="6"/>
      <c r="K16" s="6">
        <v>67876</v>
      </c>
      <c r="L16" s="6">
        <v>5804</v>
      </c>
      <c r="M16" s="6">
        <v>78183</v>
      </c>
      <c r="N16" s="6">
        <v>60194</v>
      </c>
      <c r="O16" s="6">
        <v>101190</v>
      </c>
      <c r="P16" s="6">
        <v>112569</v>
      </c>
      <c r="Q16" s="6">
        <v>337707</v>
      </c>
      <c r="R16" s="6"/>
      <c r="S16" s="6">
        <v>337707</v>
      </c>
      <c r="T16" s="6">
        <v>224928</v>
      </c>
      <c r="U16" s="6"/>
      <c r="V16" s="6"/>
      <c r="W16" s="6"/>
      <c r="X16" s="6"/>
      <c r="Y16" s="6"/>
      <c r="Z16" s="6"/>
      <c r="AA16" s="6"/>
      <c r="AB16" s="6"/>
      <c r="AC16" s="6"/>
      <c r="AD16" s="6">
        <v>153632</v>
      </c>
      <c r="AE16" s="6">
        <v>112569</v>
      </c>
      <c r="AF16" s="6">
        <v>225138</v>
      </c>
      <c r="AG16" s="6">
        <v>675414</v>
      </c>
      <c r="AH16" s="6"/>
      <c r="AI16" s="6">
        <v>224928</v>
      </c>
      <c r="AJ16" s="6"/>
      <c r="AK16" s="6"/>
      <c r="AL16" s="6"/>
      <c r="AM16" s="6"/>
      <c r="AN16" s="6"/>
      <c r="AO16" s="6"/>
      <c r="AP16" s="6">
        <v>10131</v>
      </c>
      <c r="AQ16" s="6"/>
      <c r="AR16" s="6"/>
      <c r="AS16" s="6">
        <f>34000-20400</f>
        <v>13600</v>
      </c>
      <c r="AT16" s="6">
        <f>34000-20400</f>
        <v>13600</v>
      </c>
      <c r="AU16" s="6">
        <v>10200</v>
      </c>
      <c r="AV16" s="6"/>
      <c r="AW16" s="6">
        <v>40800</v>
      </c>
      <c r="AX16" s="6"/>
      <c r="AY16" s="6"/>
      <c r="AZ16" s="6">
        <v>196790.53</v>
      </c>
      <c r="BA16" s="6"/>
      <c r="BB16" s="6"/>
      <c r="BC16" s="6"/>
      <c r="BD16" s="6"/>
      <c r="BE16" s="6"/>
      <c r="BF16" s="6"/>
      <c r="BG16" s="6"/>
      <c r="BH16" s="6"/>
      <c r="BI16" s="6"/>
      <c r="BJ16" s="6"/>
      <c r="BK16" s="6"/>
      <c r="BL16" s="6"/>
      <c r="BM16" s="6"/>
      <c r="BN16" s="6"/>
      <c r="BO16" s="6"/>
      <c r="BP16" s="6"/>
      <c r="BQ16" s="6"/>
      <c r="BR16" s="6"/>
      <c r="BS16" s="6"/>
      <c r="BT16" s="6"/>
      <c r="BU16" s="6"/>
      <c r="BV16" s="6"/>
      <c r="BW16" s="6"/>
      <c r="BX16" s="6">
        <v>767050.86</v>
      </c>
      <c r="BY16" s="6"/>
      <c r="BZ16" s="6"/>
      <c r="CA16" s="6"/>
      <c r="CB16" s="6"/>
      <c r="CC16" s="6"/>
      <c r="CD16" s="6"/>
      <c r="CE16" s="6">
        <v>112569</v>
      </c>
      <c r="CF16" s="6">
        <v>112569</v>
      </c>
      <c r="CG16" s="6">
        <f t="shared" si="0"/>
        <v>4190426.3899999997</v>
      </c>
      <c r="CI16" s="6">
        <v>112569</v>
      </c>
      <c r="CJ16" s="6">
        <v>172182</v>
      </c>
      <c r="CK16" s="6">
        <v>90879</v>
      </c>
      <c r="CL16" s="6">
        <v>55703</v>
      </c>
      <c r="CM16" s="6"/>
      <c r="CN16" s="6"/>
      <c r="CO16" s="6">
        <v>506561</v>
      </c>
      <c r="CP16" s="6">
        <v>112464</v>
      </c>
      <c r="CQ16" s="6">
        <v>1913673</v>
      </c>
      <c r="CR16" s="6"/>
      <c r="CS16" s="6"/>
      <c r="CT16" s="6"/>
      <c r="CU16" s="6"/>
      <c r="CV16" s="6"/>
      <c r="CW16" s="6"/>
      <c r="CX16" s="6">
        <v>0</v>
      </c>
      <c r="CY16" s="6"/>
      <c r="CZ16" s="6"/>
      <c r="DB16" s="6"/>
      <c r="DC16" s="6"/>
      <c r="DF16" s="6"/>
      <c r="DG16" s="6"/>
      <c r="DH16" s="6"/>
      <c r="DI16" s="6"/>
      <c r="DJ16" s="6"/>
      <c r="DK16" s="6"/>
      <c r="DL16" s="6">
        <v>6056</v>
      </c>
      <c r="DM16" s="6"/>
      <c r="DN16" s="6"/>
      <c r="DO16" s="6"/>
      <c r="DP16" s="6">
        <v>28600</v>
      </c>
      <c r="DU16" s="6">
        <f>VLOOKUP($A16,[3]Totals!$B$2:$K$119,10,FALSE)</f>
        <v>319848.02</v>
      </c>
      <c r="DV16" s="6">
        <f>VLOOKUP($A16,[3]Totals!$B$2:$K$119,9,FALSE)</f>
        <v>360476</v>
      </c>
    </row>
    <row r="17" spans="1:126" x14ac:dyDescent="0.2">
      <c r="A17" s="3">
        <v>212</v>
      </c>
      <c r="B17" s="2" t="s">
        <v>113</v>
      </c>
      <c r="C17" t="s">
        <v>7</v>
      </c>
      <c r="D17">
        <v>6</v>
      </c>
      <c r="E17" s="1">
        <v>446</v>
      </c>
      <c r="F17" s="4">
        <v>5.8000000000000003E-2</v>
      </c>
      <c r="G17">
        <v>26</v>
      </c>
      <c r="H17" s="6">
        <v>195277</v>
      </c>
      <c r="I17" s="6"/>
      <c r="J17" s="6"/>
      <c r="K17" s="6">
        <v>67876</v>
      </c>
      <c r="L17" s="6">
        <v>5169</v>
      </c>
      <c r="M17" s="6">
        <v>78183</v>
      </c>
      <c r="N17" s="6">
        <v>60194</v>
      </c>
      <c r="O17" s="6">
        <v>101190</v>
      </c>
      <c r="P17" s="6">
        <v>112569</v>
      </c>
      <c r="Q17" s="6"/>
      <c r="R17" s="6">
        <v>450276</v>
      </c>
      <c r="S17" s="6"/>
      <c r="T17" s="6">
        <v>149952</v>
      </c>
      <c r="U17" s="6"/>
      <c r="V17" s="6"/>
      <c r="W17" s="6"/>
      <c r="X17" s="6"/>
      <c r="Y17" s="6"/>
      <c r="Z17" s="6"/>
      <c r="AA17" s="6"/>
      <c r="AB17" s="6"/>
      <c r="AC17" s="6"/>
      <c r="AD17" s="6">
        <v>144900</v>
      </c>
      <c r="AE17" s="6">
        <v>112569</v>
      </c>
      <c r="AF17" s="6">
        <v>112569</v>
      </c>
      <c r="AG17" s="6">
        <v>450276</v>
      </c>
      <c r="AH17" s="6"/>
      <c r="AI17" s="6"/>
      <c r="AJ17" s="6"/>
      <c r="AK17" s="6"/>
      <c r="AL17" s="6"/>
      <c r="AM17" s="6"/>
      <c r="AN17" s="6"/>
      <c r="AO17" s="6">
        <v>112569</v>
      </c>
      <c r="AP17" s="6"/>
      <c r="AQ17" s="6"/>
      <c r="AR17" s="6"/>
      <c r="AS17" s="6"/>
      <c r="AT17" s="6"/>
      <c r="AU17" s="6"/>
      <c r="AV17" s="6"/>
      <c r="AW17" s="6">
        <v>0</v>
      </c>
      <c r="AX17" s="6"/>
      <c r="AY17" s="6"/>
      <c r="AZ17" s="6">
        <v>0</v>
      </c>
      <c r="BA17" s="6"/>
      <c r="BB17" s="6">
        <v>11150</v>
      </c>
      <c r="BC17" s="6"/>
      <c r="BD17" s="6"/>
      <c r="BE17" s="6"/>
      <c r="BF17" s="6"/>
      <c r="BG17" s="6"/>
      <c r="BH17" s="6"/>
      <c r="BI17" s="6"/>
      <c r="BJ17" s="6"/>
      <c r="BK17" s="6"/>
      <c r="BL17" s="6"/>
      <c r="BM17" s="6"/>
      <c r="BN17" s="6"/>
      <c r="BO17" s="6"/>
      <c r="BP17" s="6"/>
      <c r="BQ17" s="6"/>
      <c r="BR17" s="6"/>
      <c r="BS17" s="6"/>
      <c r="BT17" s="6"/>
      <c r="BU17" s="6"/>
      <c r="BV17" s="6"/>
      <c r="BW17" s="6"/>
      <c r="BX17" s="6">
        <v>65820</v>
      </c>
      <c r="BY17" s="6"/>
      <c r="BZ17" s="6"/>
      <c r="CA17" s="6"/>
      <c r="CB17" s="6"/>
      <c r="CC17" s="6"/>
      <c r="CD17" s="6"/>
      <c r="CE17" s="6"/>
      <c r="CF17" s="6">
        <v>0</v>
      </c>
      <c r="CG17" s="6">
        <f t="shared" si="0"/>
        <v>2230539</v>
      </c>
      <c r="CI17" s="6">
        <v>112569</v>
      </c>
      <c r="CJ17" s="6">
        <v>172182</v>
      </c>
      <c r="CK17" s="6">
        <v>90879</v>
      </c>
      <c r="CL17" s="6">
        <v>55703</v>
      </c>
      <c r="CM17" s="6"/>
      <c r="CN17" s="6"/>
      <c r="CO17" s="6">
        <v>506561</v>
      </c>
      <c r="CP17" s="6">
        <v>112464</v>
      </c>
      <c r="CQ17" s="6">
        <v>2026242</v>
      </c>
      <c r="CR17" s="6"/>
      <c r="CS17" s="6"/>
      <c r="CT17" s="6"/>
      <c r="CU17" s="6"/>
      <c r="CV17" s="6"/>
      <c r="CW17" s="6"/>
      <c r="CX17" s="6">
        <v>0</v>
      </c>
      <c r="CY17" s="6"/>
      <c r="CZ17" s="6"/>
      <c r="DB17" s="6"/>
      <c r="DC17" s="6"/>
      <c r="DF17" s="6"/>
      <c r="DG17" s="6"/>
      <c r="DH17" s="6"/>
      <c r="DI17" s="6"/>
      <c r="DJ17" s="6"/>
      <c r="DK17" s="6"/>
      <c r="DL17" s="6"/>
      <c r="DM17" s="6"/>
      <c r="DN17" s="6"/>
      <c r="DO17" s="6"/>
      <c r="DP17" s="6">
        <v>2800</v>
      </c>
      <c r="DU17" s="6">
        <f>VLOOKUP($A17,[3]Totals!$B$2:$K$119,10,FALSE)</f>
        <v>47319.33</v>
      </c>
      <c r="DV17" s="6">
        <f>VLOOKUP($A17,[3]Totals!$B$2:$K$119,9,FALSE)</f>
        <v>56854</v>
      </c>
    </row>
    <row r="18" spans="1:126" x14ac:dyDescent="0.2">
      <c r="A18" s="3">
        <v>213</v>
      </c>
      <c r="B18" s="2" t="s">
        <v>112</v>
      </c>
      <c r="C18" t="s">
        <v>4</v>
      </c>
      <c r="D18">
        <v>4</v>
      </c>
      <c r="E18" s="1">
        <v>568</v>
      </c>
      <c r="F18" s="4">
        <v>0.433</v>
      </c>
      <c r="G18">
        <v>246</v>
      </c>
      <c r="H18" s="6">
        <v>195277</v>
      </c>
      <c r="I18" s="6"/>
      <c r="J18" s="6"/>
      <c r="K18" s="6">
        <v>67876</v>
      </c>
      <c r="L18" s="6">
        <v>4796</v>
      </c>
      <c r="M18" s="6">
        <v>78183</v>
      </c>
      <c r="N18" s="6">
        <v>60194</v>
      </c>
      <c r="O18" s="6">
        <v>151785</v>
      </c>
      <c r="P18" s="6">
        <v>112569</v>
      </c>
      <c r="Q18" s="6">
        <v>337707</v>
      </c>
      <c r="R18" s="6"/>
      <c r="S18" s="6">
        <v>337707</v>
      </c>
      <c r="T18" s="6">
        <v>224928</v>
      </c>
      <c r="U18" s="6"/>
      <c r="V18" s="6"/>
      <c r="W18" s="6"/>
      <c r="X18" s="6"/>
      <c r="Y18" s="6"/>
      <c r="Z18" s="6"/>
      <c r="AA18" s="6"/>
      <c r="AB18" s="6"/>
      <c r="AC18" s="6"/>
      <c r="AD18" s="6">
        <v>246132</v>
      </c>
      <c r="AE18" s="6">
        <v>112569</v>
      </c>
      <c r="AF18" s="6">
        <v>225138</v>
      </c>
      <c r="AG18" s="6">
        <v>1350828</v>
      </c>
      <c r="AH18" s="6"/>
      <c r="AI18" s="6">
        <v>224928</v>
      </c>
      <c r="AJ18" s="6"/>
      <c r="AK18" s="6"/>
      <c r="AL18" s="6"/>
      <c r="AM18" s="6"/>
      <c r="AN18" s="6"/>
      <c r="AO18" s="6">
        <v>2476518</v>
      </c>
      <c r="AP18" s="6"/>
      <c r="AQ18" s="6">
        <v>37488</v>
      </c>
      <c r="AR18" s="6"/>
      <c r="AS18" s="6">
        <f>54400-27300</f>
        <v>27100</v>
      </c>
      <c r="AT18" s="6">
        <f>54400-27300</f>
        <v>27100</v>
      </c>
      <c r="AU18" s="6">
        <v>10200</v>
      </c>
      <c r="AV18" s="6"/>
      <c r="AW18" s="6">
        <v>54400</v>
      </c>
      <c r="AX18" s="6"/>
      <c r="AY18" s="6"/>
      <c r="AZ18" s="6">
        <v>180960.79</v>
      </c>
      <c r="BA18" s="6"/>
      <c r="BB18" s="6"/>
      <c r="BC18" s="6"/>
      <c r="BD18" s="6"/>
      <c r="BE18" s="6"/>
      <c r="BF18" s="6"/>
      <c r="BG18" s="6"/>
      <c r="BH18" s="6"/>
      <c r="BI18" s="6"/>
      <c r="BJ18" s="6"/>
      <c r="BK18" s="6"/>
      <c r="BL18" s="6"/>
      <c r="BM18" s="6"/>
      <c r="BN18" s="6"/>
      <c r="BO18" s="6"/>
      <c r="BP18" s="6"/>
      <c r="BQ18" s="6"/>
      <c r="BR18" s="6"/>
      <c r="BS18" s="6"/>
      <c r="BT18" s="6"/>
      <c r="BU18" s="6"/>
      <c r="BV18" s="6"/>
      <c r="BW18" s="6"/>
      <c r="BX18" s="6">
        <v>622754</v>
      </c>
      <c r="BY18" s="6"/>
      <c r="BZ18" s="6"/>
      <c r="CA18" s="6"/>
      <c r="CB18" s="6"/>
      <c r="CC18" s="6">
        <v>535942</v>
      </c>
      <c r="CD18" s="6"/>
      <c r="CE18" s="6"/>
      <c r="CF18" s="6">
        <v>112569</v>
      </c>
      <c r="CG18" s="6">
        <f t="shared" si="0"/>
        <v>7815648.79</v>
      </c>
      <c r="CI18" s="6">
        <v>112569</v>
      </c>
      <c r="CJ18" s="6">
        <v>219141</v>
      </c>
      <c r="CK18" s="6">
        <v>90879</v>
      </c>
      <c r="CL18" s="6">
        <v>70895</v>
      </c>
      <c r="CM18" s="6"/>
      <c r="CN18" s="6"/>
      <c r="CO18" s="6">
        <f>619130-DG18</f>
        <v>506561</v>
      </c>
      <c r="CP18" s="6">
        <v>149952</v>
      </c>
      <c r="CQ18" s="6">
        <v>2589087</v>
      </c>
      <c r="CR18" s="6"/>
      <c r="CS18" s="6"/>
      <c r="CT18" s="6"/>
      <c r="CU18" s="6"/>
      <c r="CV18" s="6"/>
      <c r="CW18" s="6"/>
      <c r="CX18" s="6">
        <v>0</v>
      </c>
      <c r="CY18" s="6"/>
      <c r="CZ18" s="6"/>
      <c r="DB18" s="6">
        <v>450276</v>
      </c>
      <c r="DC18" s="6"/>
      <c r="DF18" s="6"/>
      <c r="DG18" s="6">
        <v>112569</v>
      </c>
      <c r="DH18" s="6"/>
      <c r="DI18" s="6"/>
      <c r="DJ18" s="6"/>
      <c r="DK18" s="6"/>
      <c r="DL18" s="6">
        <v>4925</v>
      </c>
      <c r="DM18" s="6"/>
      <c r="DN18" s="6"/>
      <c r="DO18" s="6"/>
      <c r="DP18" s="6">
        <v>49400</v>
      </c>
      <c r="DU18" s="6">
        <f>VLOOKUP($A18,[3]Totals!$B$2:$K$119,10,FALSE)</f>
        <v>182082.38</v>
      </c>
      <c r="DV18" s="6">
        <f>VLOOKUP($A18,[3]Totals!$B$2:$K$119,9,FALSE)</f>
        <v>409900</v>
      </c>
    </row>
    <row r="19" spans="1:126" x14ac:dyDescent="0.2">
      <c r="A19" s="3">
        <v>347</v>
      </c>
      <c r="B19" s="2" t="s">
        <v>111</v>
      </c>
      <c r="C19" t="s">
        <v>19</v>
      </c>
      <c r="D19">
        <v>5</v>
      </c>
      <c r="E19" s="1">
        <v>359</v>
      </c>
      <c r="F19" s="4">
        <v>0.52400000000000002</v>
      </c>
      <c r="G19">
        <v>188</v>
      </c>
      <c r="H19" s="6">
        <v>195277</v>
      </c>
      <c r="I19" s="6">
        <v>112569</v>
      </c>
      <c r="J19" s="6"/>
      <c r="K19" s="6">
        <v>67876</v>
      </c>
      <c r="L19" s="6">
        <v>6573</v>
      </c>
      <c r="M19" s="6">
        <v>78183</v>
      </c>
      <c r="N19" s="6">
        <v>60194</v>
      </c>
      <c r="O19" s="6">
        <v>151785</v>
      </c>
      <c r="P19" s="6">
        <v>112569</v>
      </c>
      <c r="Q19" s="6"/>
      <c r="R19" s="6"/>
      <c r="S19" s="6"/>
      <c r="T19" s="6"/>
      <c r="U19" s="6"/>
      <c r="V19" s="6"/>
      <c r="W19" s="6"/>
      <c r="X19" s="6"/>
      <c r="Y19" s="6"/>
      <c r="Z19" s="6"/>
      <c r="AA19" s="6"/>
      <c r="AB19" s="6"/>
      <c r="AC19" s="6"/>
      <c r="AD19" s="6">
        <v>142532</v>
      </c>
      <c r="AE19" s="6">
        <v>112569</v>
      </c>
      <c r="AF19" s="6">
        <v>225138</v>
      </c>
      <c r="AG19" s="6">
        <v>1013121</v>
      </c>
      <c r="AH19" s="6"/>
      <c r="AI19" s="6">
        <v>149952</v>
      </c>
      <c r="AJ19" s="6"/>
      <c r="AK19" s="6"/>
      <c r="AL19" s="6"/>
      <c r="AM19" s="6"/>
      <c r="AN19" s="6"/>
      <c r="AO19" s="6">
        <v>225138</v>
      </c>
      <c r="AP19" s="6"/>
      <c r="AQ19" s="6"/>
      <c r="AR19" s="6"/>
      <c r="AS19" s="6"/>
      <c r="AT19" s="6"/>
      <c r="AU19" s="6"/>
      <c r="AV19" s="6"/>
      <c r="AW19" s="6">
        <v>0</v>
      </c>
      <c r="AX19" s="6"/>
      <c r="AY19" s="6"/>
      <c r="AZ19" s="6">
        <v>162781.54999999999</v>
      </c>
      <c r="BA19" s="6"/>
      <c r="BB19" s="6"/>
      <c r="BC19" s="6"/>
      <c r="BD19" s="6"/>
      <c r="BE19" s="6"/>
      <c r="BF19" s="6"/>
      <c r="BG19" s="6"/>
      <c r="BH19" s="6"/>
      <c r="BI19" s="6"/>
      <c r="BJ19" s="6"/>
      <c r="BK19" s="6"/>
      <c r="BL19" s="6"/>
      <c r="BM19" s="6"/>
      <c r="BN19" s="6"/>
      <c r="BO19" s="6"/>
      <c r="BP19" s="6"/>
      <c r="BQ19" s="6"/>
      <c r="BR19" s="6"/>
      <c r="BS19" s="6">
        <v>200000</v>
      </c>
      <c r="BT19" s="6"/>
      <c r="BU19" s="6"/>
      <c r="BV19" s="6"/>
      <c r="BW19" s="6"/>
      <c r="BX19" s="6">
        <v>475926</v>
      </c>
      <c r="BY19" s="6"/>
      <c r="BZ19" s="6"/>
      <c r="CA19" s="6"/>
      <c r="CB19" s="6"/>
      <c r="CC19" s="6">
        <v>57932</v>
      </c>
      <c r="CD19" s="6"/>
      <c r="CE19" s="6"/>
      <c r="CF19" s="6">
        <v>0</v>
      </c>
      <c r="CG19" s="6">
        <f t="shared" si="0"/>
        <v>3550115.55</v>
      </c>
      <c r="CI19" s="6">
        <v>112569</v>
      </c>
      <c r="CJ19" s="6">
        <v>187835</v>
      </c>
      <c r="CK19" s="6">
        <v>90879</v>
      </c>
      <c r="CL19" s="6"/>
      <c r="CM19" s="6"/>
      <c r="CN19" s="6"/>
      <c r="CO19" s="6"/>
      <c r="CP19" s="6"/>
      <c r="CQ19" s="6">
        <v>1823618</v>
      </c>
      <c r="CR19" s="6">
        <v>337707</v>
      </c>
      <c r="CS19" s="6">
        <v>23000</v>
      </c>
      <c r="CT19" s="6"/>
      <c r="CU19" s="6">
        <v>100000</v>
      </c>
      <c r="CV19" s="6"/>
      <c r="CW19" s="6">
        <v>112569</v>
      </c>
      <c r="CX19" s="6">
        <v>0</v>
      </c>
      <c r="CY19" s="6"/>
      <c r="CZ19" s="6"/>
      <c r="DB19" s="6"/>
      <c r="DC19" s="6"/>
      <c r="DF19" s="6"/>
      <c r="DG19" s="6"/>
      <c r="DH19" s="6"/>
      <c r="DI19" s="6"/>
      <c r="DJ19" s="6"/>
      <c r="DK19" s="6"/>
      <c r="DL19" s="6">
        <v>3763</v>
      </c>
      <c r="DM19" s="6"/>
      <c r="DN19" s="6"/>
      <c r="DO19" s="6"/>
      <c r="DP19" s="6">
        <v>39975</v>
      </c>
      <c r="DU19" s="6">
        <f>VLOOKUP($A19,[3]Totals!$B$2:$K$119,10,FALSE)</f>
        <v>118097.72</v>
      </c>
      <c r="DV19" s="6">
        <f>VLOOKUP($A19,[3]Totals!$B$2:$K$119,9,FALSE)</f>
        <v>128046</v>
      </c>
    </row>
    <row r="20" spans="1:126" x14ac:dyDescent="0.2">
      <c r="A20" s="3">
        <v>404</v>
      </c>
      <c r="B20" s="2" t="s">
        <v>110</v>
      </c>
      <c r="C20" t="s">
        <v>4</v>
      </c>
      <c r="D20">
        <v>5</v>
      </c>
      <c r="E20" s="1">
        <v>436</v>
      </c>
      <c r="F20" s="4">
        <v>0.626</v>
      </c>
      <c r="G20">
        <v>273</v>
      </c>
      <c r="H20" s="6">
        <v>195277</v>
      </c>
      <c r="I20" s="6">
        <v>112569</v>
      </c>
      <c r="J20" s="6"/>
      <c r="K20" s="6">
        <v>67876</v>
      </c>
      <c r="L20" s="6">
        <v>10512</v>
      </c>
      <c r="M20" s="6">
        <v>78183</v>
      </c>
      <c r="N20" s="6">
        <v>60194</v>
      </c>
      <c r="O20" s="6">
        <v>354165</v>
      </c>
      <c r="P20" s="6">
        <v>112569</v>
      </c>
      <c r="Q20" s="6"/>
      <c r="R20" s="6">
        <v>225138</v>
      </c>
      <c r="S20" s="6">
        <v>225138</v>
      </c>
      <c r="T20" s="6">
        <v>149952</v>
      </c>
      <c r="U20" s="6"/>
      <c r="V20" s="6"/>
      <c r="W20" s="6"/>
      <c r="X20" s="6"/>
      <c r="Y20" s="6"/>
      <c r="Z20" s="6"/>
      <c r="AA20" s="6"/>
      <c r="AB20" s="6"/>
      <c r="AC20" s="6"/>
      <c r="AD20" s="6">
        <v>179219</v>
      </c>
      <c r="AE20" s="6">
        <v>112569</v>
      </c>
      <c r="AF20" s="6">
        <v>225138</v>
      </c>
      <c r="AG20" s="6">
        <v>1125690</v>
      </c>
      <c r="AH20" s="6"/>
      <c r="AI20" s="6">
        <v>224928</v>
      </c>
      <c r="AJ20" s="6"/>
      <c r="AK20" s="6"/>
      <c r="AL20" s="6"/>
      <c r="AM20" s="6"/>
      <c r="AN20" s="6"/>
      <c r="AO20" s="6">
        <v>450276</v>
      </c>
      <c r="AP20" s="6"/>
      <c r="AQ20" s="6"/>
      <c r="AR20" s="6"/>
      <c r="AS20" s="6">
        <f>20400-13600</f>
        <v>6800</v>
      </c>
      <c r="AT20" s="6">
        <f>20400-13600</f>
        <v>6800</v>
      </c>
      <c r="AU20" s="6">
        <v>10200</v>
      </c>
      <c r="AV20" s="6"/>
      <c r="AW20" s="6">
        <v>27200</v>
      </c>
      <c r="AX20" s="6"/>
      <c r="AY20" s="6"/>
      <c r="AZ20" s="6">
        <v>197695.79</v>
      </c>
      <c r="BA20" s="6"/>
      <c r="BB20" s="6"/>
      <c r="BC20" s="6"/>
      <c r="BD20" s="6"/>
      <c r="BE20" s="6"/>
      <c r="BF20" s="6"/>
      <c r="BG20" s="6"/>
      <c r="BH20" s="6"/>
      <c r="BI20" s="6"/>
      <c r="BJ20" s="6"/>
      <c r="BK20" s="6"/>
      <c r="BL20" s="6"/>
      <c r="BM20" s="6"/>
      <c r="BN20" s="6"/>
      <c r="BO20" s="6"/>
      <c r="BP20" s="6"/>
      <c r="BQ20" s="6"/>
      <c r="BR20" s="6"/>
      <c r="BS20" s="6"/>
      <c r="BT20" s="6"/>
      <c r="BU20" s="6"/>
      <c r="BV20" s="6"/>
      <c r="BW20" s="6"/>
      <c r="BX20" s="6">
        <v>691105</v>
      </c>
      <c r="BY20" s="6"/>
      <c r="BZ20" s="6"/>
      <c r="CA20" s="6"/>
      <c r="CB20" s="6"/>
      <c r="CC20" s="6"/>
      <c r="CD20" s="6"/>
      <c r="CE20" s="6"/>
      <c r="CF20" s="6">
        <v>112569</v>
      </c>
      <c r="CG20" s="6">
        <f t="shared" si="0"/>
        <v>4961762.79</v>
      </c>
      <c r="CI20" s="6">
        <v>112569</v>
      </c>
      <c r="CJ20" s="6">
        <v>187835</v>
      </c>
      <c r="CK20" s="6">
        <v>90879</v>
      </c>
      <c r="CL20" s="6">
        <v>55703</v>
      </c>
      <c r="CM20" s="6"/>
      <c r="CN20" s="6"/>
      <c r="CO20" s="6">
        <f>562845-DG20</f>
        <v>506561</v>
      </c>
      <c r="CP20" s="6">
        <v>74976</v>
      </c>
      <c r="CQ20" s="6">
        <v>2014985</v>
      </c>
      <c r="CR20" s="6">
        <v>225138</v>
      </c>
      <c r="CS20" s="6">
        <v>23000</v>
      </c>
      <c r="CT20" s="6"/>
      <c r="CU20" s="6">
        <v>100000</v>
      </c>
      <c r="CV20" s="6"/>
      <c r="CW20" s="6"/>
      <c r="CX20" s="6">
        <v>0</v>
      </c>
      <c r="CY20" s="6"/>
      <c r="CZ20" s="6"/>
      <c r="DB20" s="6"/>
      <c r="DC20" s="6"/>
      <c r="DF20" s="6"/>
      <c r="DG20" s="6">
        <v>56284</v>
      </c>
      <c r="DH20" s="6"/>
      <c r="DI20" s="6"/>
      <c r="DJ20" s="6"/>
      <c r="DK20" s="6"/>
      <c r="DL20" s="6">
        <v>5469</v>
      </c>
      <c r="DM20" s="6"/>
      <c r="DN20" s="6"/>
      <c r="DO20" s="6"/>
      <c r="DP20" s="6">
        <v>38625</v>
      </c>
      <c r="DU20" s="6">
        <f>VLOOKUP($A20,[3]Totals!$B$2:$K$119,10,FALSE)</f>
        <v>163091.60999999999</v>
      </c>
      <c r="DV20" s="6">
        <f>VLOOKUP($A20,[3]Totals!$B$2:$K$119,9,FALSE)</f>
        <v>71241</v>
      </c>
    </row>
    <row r="21" spans="1:126" x14ac:dyDescent="0.2">
      <c r="A21" s="3">
        <v>296</v>
      </c>
      <c r="B21" s="2" t="s">
        <v>109</v>
      </c>
      <c r="C21" t="s">
        <v>7</v>
      </c>
      <c r="D21">
        <v>1</v>
      </c>
      <c r="E21" s="1">
        <v>485</v>
      </c>
      <c r="F21" s="4">
        <v>0.373</v>
      </c>
      <c r="G21">
        <v>181</v>
      </c>
      <c r="H21" s="6">
        <v>195277</v>
      </c>
      <c r="I21" s="6"/>
      <c r="J21" s="6"/>
      <c r="K21" s="6">
        <v>67876</v>
      </c>
      <c r="L21" s="6">
        <v>7964</v>
      </c>
      <c r="M21" s="6">
        <v>78183</v>
      </c>
      <c r="N21" s="6">
        <v>60194</v>
      </c>
      <c r="O21" s="6">
        <v>151785</v>
      </c>
      <c r="P21" s="6">
        <v>112569</v>
      </c>
      <c r="Q21" s="6"/>
      <c r="R21" s="6">
        <v>675414</v>
      </c>
      <c r="S21" s="6"/>
      <c r="T21" s="6">
        <v>224928</v>
      </c>
      <c r="U21" s="6"/>
      <c r="V21" s="6"/>
      <c r="W21" s="6"/>
      <c r="X21" s="6"/>
      <c r="Y21" s="6"/>
      <c r="Z21" s="6"/>
      <c r="AA21" s="6"/>
      <c r="AB21" s="6"/>
      <c r="AC21" s="6"/>
      <c r="AD21" s="6">
        <v>185396</v>
      </c>
      <c r="AE21" s="6">
        <v>112569</v>
      </c>
      <c r="AF21" s="6">
        <v>225138</v>
      </c>
      <c r="AG21" s="6">
        <v>450276</v>
      </c>
      <c r="AH21" s="6"/>
      <c r="AI21" s="6"/>
      <c r="AJ21" s="6"/>
      <c r="AK21" s="6"/>
      <c r="AL21" s="6"/>
      <c r="AM21" s="6"/>
      <c r="AN21" s="6"/>
      <c r="AO21" s="6">
        <v>1463397</v>
      </c>
      <c r="AP21" s="6"/>
      <c r="AQ21" s="6"/>
      <c r="AR21" s="6"/>
      <c r="AS21" s="6"/>
      <c r="AT21" s="6"/>
      <c r="AU21" s="6"/>
      <c r="AV21" s="6"/>
      <c r="AW21" s="6">
        <v>0</v>
      </c>
      <c r="AX21" s="6"/>
      <c r="AY21" s="6"/>
      <c r="AZ21" s="6">
        <v>219914.80000000002</v>
      </c>
      <c r="BA21" s="6"/>
      <c r="BB21" s="6"/>
      <c r="BC21" s="6"/>
      <c r="BD21" s="6"/>
      <c r="BE21" s="6"/>
      <c r="BF21" s="6"/>
      <c r="BG21" s="6"/>
      <c r="BH21" s="6"/>
      <c r="BI21" s="6"/>
      <c r="BJ21" s="6"/>
      <c r="BK21" s="6"/>
      <c r="BL21" s="6"/>
      <c r="BM21" s="6"/>
      <c r="BN21" s="6"/>
      <c r="BO21" s="6"/>
      <c r="BP21" s="6"/>
      <c r="BQ21" s="6"/>
      <c r="BR21" s="6"/>
      <c r="BS21" s="6"/>
      <c r="BT21" s="6"/>
      <c r="BU21" s="6"/>
      <c r="BV21" s="6"/>
      <c r="BW21" s="6"/>
      <c r="BX21" s="6">
        <v>458205</v>
      </c>
      <c r="BY21" s="6"/>
      <c r="BZ21" s="6"/>
      <c r="CA21" s="6"/>
      <c r="CB21" s="6"/>
      <c r="CC21" s="6"/>
      <c r="CD21" s="6"/>
      <c r="CE21" s="6">
        <v>112569</v>
      </c>
      <c r="CF21" s="6">
        <v>112569</v>
      </c>
      <c r="CG21" s="6">
        <f t="shared" si="0"/>
        <v>4914223.8</v>
      </c>
      <c r="CI21" s="6">
        <v>112569</v>
      </c>
      <c r="CJ21" s="6">
        <v>187835</v>
      </c>
      <c r="CK21" s="6">
        <v>90879</v>
      </c>
      <c r="CL21" s="6">
        <v>60767</v>
      </c>
      <c r="CM21" s="6"/>
      <c r="CN21" s="6"/>
      <c r="CO21" s="6">
        <v>506561</v>
      </c>
      <c r="CP21" s="6">
        <v>112464</v>
      </c>
      <c r="CQ21" s="6">
        <v>2026242</v>
      </c>
      <c r="CR21" s="6"/>
      <c r="CS21" s="6"/>
      <c r="CT21" s="6"/>
      <c r="CU21" s="6"/>
      <c r="CV21" s="6"/>
      <c r="CW21" s="6"/>
      <c r="CX21" s="6">
        <v>0</v>
      </c>
      <c r="CY21" s="6"/>
      <c r="CZ21" s="6"/>
      <c r="DB21" s="6">
        <v>337707</v>
      </c>
      <c r="DC21" s="6"/>
      <c r="DF21" s="6"/>
      <c r="DG21" s="6"/>
      <c r="DH21" s="6"/>
      <c r="DI21" s="6"/>
      <c r="DJ21" s="6"/>
      <c r="DK21" s="6"/>
      <c r="DL21" s="6">
        <v>3625</v>
      </c>
      <c r="DM21" s="6"/>
      <c r="DN21" s="6"/>
      <c r="DO21" s="6"/>
      <c r="DP21" s="6">
        <v>14025</v>
      </c>
      <c r="DU21" s="6">
        <f>VLOOKUP($A21,[3]Totals!$B$2:$K$119,10,FALSE)</f>
        <v>172190.62</v>
      </c>
      <c r="DV21" s="6">
        <f>VLOOKUP($A21,[3]Totals!$B$2:$K$119,9,FALSE)</f>
        <v>37488</v>
      </c>
    </row>
    <row r="22" spans="1:126" x14ac:dyDescent="0.2">
      <c r="A22" s="3">
        <v>219</v>
      </c>
      <c r="B22" s="2" t="s">
        <v>108</v>
      </c>
      <c r="C22" t="s">
        <v>7</v>
      </c>
      <c r="D22">
        <v>5</v>
      </c>
      <c r="E22" s="1">
        <v>231</v>
      </c>
      <c r="F22" s="4">
        <v>0.44600000000000001</v>
      </c>
      <c r="G22">
        <v>103</v>
      </c>
      <c r="H22" s="6">
        <v>195277</v>
      </c>
      <c r="I22" s="6"/>
      <c r="J22" s="6"/>
      <c r="K22" s="6">
        <v>67876</v>
      </c>
      <c r="L22" s="6">
        <v>3779</v>
      </c>
      <c r="M22" s="6">
        <v>78183</v>
      </c>
      <c r="N22" s="6">
        <v>60194</v>
      </c>
      <c r="O22" s="6">
        <v>50595</v>
      </c>
      <c r="P22" s="6">
        <f t="shared" ref="P22:P23" si="1">91547+15105+5917.07</f>
        <v>112569.07</v>
      </c>
      <c r="Q22" s="6">
        <v>225138</v>
      </c>
      <c r="R22" s="6"/>
      <c r="S22" s="6">
        <v>337707</v>
      </c>
      <c r="T22" s="6">
        <v>187440</v>
      </c>
      <c r="U22" s="6"/>
      <c r="V22" s="6"/>
      <c r="W22" s="6"/>
      <c r="X22" s="6"/>
      <c r="Y22" s="6"/>
      <c r="Z22" s="6"/>
      <c r="AA22" s="6"/>
      <c r="AB22" s="6"/>
      <c r="AC22" s="6"/>
      <c r="AD22" s="6">
        <v>96571</v>
      </c>
      <c r="AE22" s="6">
        <v>112569</v>
      </c>
      <c r="AF22" s="6">
        <v>112569</v>
      </c>
      <c r="AG22" s="6">
        <v>675414</v>
      </c>
      <c r="AH22" s="6"/>
      <c r="AI22" s="6">
        <v>224928</v>
      </c>
      <c r="AJ22" s="6"/>
      <c r="AK22" s="6"/>
      <c r="AL22" s="6"/>
      <c r="AM22" s="6"/>
      <c r="AN22" s="6"/>
      <c r="AO22" s="6">
        <v>112569</v>
      </c>
      <c r="AP22" s="6"/>
      <c r="AQ22" s="6"/>
      <c r="AR22" s="6"/>
      <c r="AS22" s="6">
        <f>20400-13600</f>
        <v>6800</v>
      </c>
      <c r="AT22" s="6">
        <f>20400-13600</f>
        <v>6800</v>
      </c>
      <c r="AU22" s="6">
        <v>10200</v>
      </c>
      <c r="AV22" s="6"/>
      <c r="AW22" s="6">
        <v>27200</v>
      </c>
      <c r="AX22" s="6"/>
      <c r="AY22" s="6"/>
      <c r="AZ22" s="6">
        <v>104743.91</v>
      </c>
      <c r="BA22" s="6"/>
      <c r="BB22" s="6"/>
      <c r="BC22" s="6"/>
      <c r="BD22" s="6"/>
      <c r="BE22" s="6"/>
      <c r="BF22" s="6"/>
      <c r="BG22" s="6"/>
      <c r="BH22" s="6"/>
      <c r="BI22" s="6"/>
      <c r="BJ22" s="6"/>
      <c r="BK22" s="6"/>
      <c r="BL22" s="6"/>
      <c r="BM22" s="6"/>
      <c r="BN22" s="6"/>
      <c r="BO22" s="6"/>
      <c r="BP22" s="6"/>
      <c r="BQ22" s="6"/>
      <c r="BR22" s="6"/>
      <c r="BS22" s="6"/>
      <c r="BT22" s="6"/>
      <c r="BU22" s="6"/>
      <c r="BV22" s="6"/>
      <c r="BW22" s="6"/>
      <c r="BX22" s="6">
        <v>260747</v>
      </c>
      <c r="BY22" s="6"/>
      <c r="BZ22" s="6"/>
      <c r="CA22" s="6"/>
      <c r="CB22" s="6"/>
      <c r="CC22" s="6"/>
      <c r="CD22" s="6"/>
      <c r="CE22" s="6"/>
      <c r="CF22" s="6">
        <v>116130</v>
      </c>
      <c r="CG22" s="6">
        <f t="shared" si="0"/>
        <v>3185998.9800000004</v>
      </c>
      <c r="CI22" s="6">
        <v>112569</v>
      </c>
      <c r="CJ22" s="6"/>
      <c r="CK22" s="6">
        <v>45440</v>
      </c>
      <c r="CL22" s="6"/>
      <c r="CM22" s="6"/>
      <c r="CN22" s="6"/>
      <c r="CO22" s="6">
        <v>337707</v>
      </c>
      <c r="CP22" s="6">
        <v>74976</v>
      </c>
      <c r="CQ22" s="6">
        <v>900552</v>
      </c>
      <c r="CR22" s="6"/>
      <c r="CS22" s="6"/>
      <c r="CT22" s="6"/>
      <c r="CU22" s="6"/>
      <c r="CV22" s="6"/>
      <c r="CW22" s="6"/>
      <c r="CX22" s="6">
        <v>0</v>
      </c>
      <c r="CY22" s="6"/>
      <c r="CZ22" s="6"/>
      <c r="DB22" s="6"/>
      <c r="DC22" s="6"/>
      <c r="DF22" s="6"/>
      <c r="DG22" s="6"/>
      <c r="DH22" s="6"/>
      <c r="DI22" s="6"/>
      <c r="DJ22" s="6"/>
      <c r="DK22" s="6"/>
      <c r="DL22" s="6">
        <v>2051</v>
      </c>
      <c r="DM22" s="6"/>
      <c r="DN22" s="6"/>
      <c r="DO22" s="6"/>
      <c r="DP22" s="6">
        <v>10450</v>
      </c>
      <c r="DU22" s="6">
        <f>VLOOKUP($A22,[3]Totals!$B$2:$K$119,10,FALSE)</f>
        <v>61235.65</v>
      </c>
      <c r="DV22" s="6">
        <f>VLOOKUP($A22,[3]Totals!$B$2:$K$119,9,FALSE)</f>
        <v>225138</v>
      </c>
    </row>
    <row r="23" spans="1:126" x14ac:dyDescent="0.2">
      <c r="A23" s="3">
        <v>220</v>
      </c>
      <c r="B23" s="2" t="s">
        <v>107</v>
      </c>
      <c r="C23" t="s">
        <v>7</v>
      </c>
      <c r="D23">
        <v>5</v>
      </c>
      <c r="E23" s="1">
        <v>279</v>
      </c>
      <c r="F23" s="4">
        <v>0.43</v>
      </c>
      <c r="G23">
        <v>120</v>
      </c>
      <c r="H23" s="6">
        <v>195277</v>
      </c>
      <c r="I23" s="6"/>
      <c r="J23" s="6"/>
      <c r="K23" s="6">
        <v>67876</v>
      </c>
      <c r="L23" s="6">
        <v>4443</v>
      </c>
      <c r="M23" s="6">
        <v>78183</v>
      </c>
      <c r="N23" s="6">
        <v>60194</v>
      </c>
      <c r="O23" s="6">
        <v>50595</v>
      </c>
      <c r="P23" s="6">
        <f t="shared" si="1"/>
        <v>112569.07</v>
      </c>
      <c r="Q23" s="6">
        <v>225138</v>
      </c>
      <c r="R23" s="6">
        <v>112569</v>
      </c>
      <c r="S23" s="6">
        <v>225138</v>
      </c>
      <c r="T23" s="6">
        <v>187440</v>
      </c>
      <c r="U23" s="6"/>
      <c r="V23" s="6"/>
      <c r="W23" s="6"/>
      <c r="X23" s="6"/>
      <c r="Y23" s="6"/>
      <c r="Z23" s="6"/>
      <c r="AA23" s="6"/>
      <c r="AB23" s="6"/>
      <c r="AC23" s="6"/>
      <c r="AD23" s="6">
        <v>112425</v>
      </c>
      <c r="AE23" s="6">
        <v>112569</v>
      </c>
      <c r="AF23" s="6">
        <v>112569</v>
      </c>
      <c r="AG23" s="6">
        <v>787983</v>
      </c>
      <c r="AH23" s="6"/>
      <c r="AI23" s="6">
        <v>224928</v>
      </c>
      <c r="AJ23" s="6"/>
      <c r="AK23" s="6"/>
      <c r="AL23" s="6"/>
      <c r="AM23" s="6"/>
      <c r="AN23" s="6"/>
      <c r="AO23" s="6">
        <v>225138</v>
      </c>
      <c r="AP23" s="6"/>
      <c r="AQ23" s="6"/>
      <c r="AR23" s="6"/>
      <c r="AS23" s="6">
        <v>40800</v>
      </c>
      <c r="AT23" s="6">
        <f>40800-20400</f>
        <v>20400</v>
      </c>
      <c r="AU23" s="6">
        <v>10200</v>
      </c>
      <c r="AV23" s="6"/>
      <c r="AW23" s="6">
        <v>40800</v>
      </c>
      <c r="AX23" s="6"/>
      <c r="AY23" s="6"/>
      <c r="AZ23" s="6">
        <v>126506.54000000001</v>
      </c>
      <c r="BA23" s="6"/>
      <c r="BB23" s="6"/>
      <c r="BC23" s="6"/>
      <c r="BD23" s="6"/>
      <c r="BE23" s="6"/>
      <c r="BF23" s="6"/>
      <c r="BG23" s="6"/>
      <c r="BH23" s="6"/>
      <c r="BI23" s="6"/>
      <c r="BJ23" s="6"/>
      <c r="BK23" s="6"/>
      <c r="BL23" s="6"/>
      <c r="BM23" s="6"/>
      <c r="BN23" s="6"/>
      <c r="BO23" s="6"/>
      <c r="BP23" s="6"/>
      <c r="BQ23" s="6"/>
      <c r="BR23" s="6"/>
      <c r="BS23" s="6"/>
      <c r="BT23" s="6"/>
      <c r="BU23" s="6"/>
      <c r="BV23" s="6"/>
      <c r="BW23" s="6"/>
      <c r="BX23" s="6">
        <v>303782</v>
      </c>
      <c r="BY23" s="6"/>
      <c r="BZ23" s="6"/>
      <c r="CA23" s="6"/>
      <c r="CB23" s="6"/>
      <c r="CC23" s="6"/>
      <c r="CD23" s="6"/>
      <c r="CE23" s="6"/>
      <c r="CF23" s="6">
        <v>180148</v>
      </c>
      <c r="CG23" s="6">
        <f t="shared" si="0"/>
        <v>3617670.6100000003</v>
      </c>
      <c r="CI23" s="6">
        <v>112569</v>
      </c>
      <c r="CJ23" s="6"/>
      <c r="CK23" s="6">
        <v>45440</v>
      </c>
      <c r="CL23" s="6"/>
      <c r="CM23" s="6"/>
      <c r="CN23" s="6"/>
      <c r="CO23" s="6">
        <v>337707</v>
      </c>
      <c r="CP23" s="6">
        <v>74976</v>
      </c>
      <c r="CQ23" s="6">
        <v>1350828</v>
      </c>
      <c r="CR23" s="6"/>
      <c r="CS23" s="6"/>
      <c r="CT23" s="6"/>
      <c r="CU23" s="6"/>
      <c r="CV23" s="6"/>
      <c r="CW23" s="6"/>
      <c r="CX23" s="6">
        <v>0</v>
      </c>
      <c r="CY23" s="6"/>
      <c r="CZ23" s="6"/>
      <c r="DB23" s="6"/>
      <c r="DC23" s="6"/>
      <c r="DF23" s="6"/>
      <c r="DG23" s="6"/>
      <c r="DH23" s="6"/>
      <c r="DI23" s="6"/>
      <c r="DJ23" s="6"/>
      <c r="DK23" s="6"/>
      <c r="DL23" s="6">
        <v>2400</v>
      </c>
      <c r="DM23" s="6"/>
      <c r="DN23" s="6"/>
      <c r="DO23" s="6"/>
      <c r="DP23" s="6">
        <v>8550</v>
      </c>
      <c r="DU23" s="6">
        <f>VLOOKUP($A23,[3]Totals!$B$2:$K$119,10,FALSE)</f>
        <v>134028.64000000001</v>
      </c>
      <c r="DV23" s="6">
        <f>VLOOKUP($A23,[3]Totals!$B$2:$K$119,9,FALSE)</f>
        <v>112569</v>
      </c>
    </row>
    <row r="24" spans="1:126" x14ac:dyDescent="0.2">
      <c r="A24" s="3">
        <v>221</v>
      </c>
      <c r="B24" s="2" t="s">
        <v>106</v>
      </c>
      <c r="C24" t="s">
        <v>7</v>
      </c>
      <c r="D24">
        <v>7</v>
      </c>
      <c r="E24" s="1">
        <v>305</v>
      </c>
      <c r="F24" s="4">
        <v>0.66900000000000004</v>
      </c>
      <c r="G24">
        <v>204</v>
      </c>
      <c r="H24" s="6">
        <v>195277</v>
      </c>
      <c r="I24" s="6"/>
      <c r="J24" s="6"/>
      <c r="K24" s="6">
        <v>67876</v>
      </c>
      <c r="L24" s="6">
        <v>5857</v>
      </c>
      <c r="M24" s="6">
        <v>78183</v>
      </c>
      <c r="N24" s="6">
        <v>60194</v>
      </c>
      <c r="O24" s="6">
        <v>101190</v>
      </c>
      <c r="P24" s="6">
        <v>112569</v>
      </c>
      <c r="Q24" s="6">
        <v>225138</v>
      </c>
      <c r="R24" s="6">
        <v>112569</v>
      </c>
      <c r="S24" s="6">
        <v>337707</v>
      </c>
      <c r="T24" s="6">
        <v>224928</v>
      </c>
      <c r="U24" s="6"/>
      <c r="V24" s="6"/>
      <c r="W24" s="6"/>
      <c r="X24" s="6"/>
      <c r="Y24" s="6"/>
      <c r="Z24" s="6"/>
      <c r="AA24" s="6"/>
      <c r="AB24" s="6"/>
      <c r="AC24" s="6"/>
      <c r="AD24" s="6">
        <v>110553</v>
      </c>
      <c r="AE24" s="6">
        <v>112569</v>
      </c>
      <c r="AF24" s="6">
        <v>112569</v>
      </c>
      <c r="AG24" s="6">
        <v>337707</v>
      </c>
      <c r="AH24" s="6"/>
      <c r="AI24" s="6"/>
      <c r="AJ24" s="6"/>
      <c r="AK24" s="6"/>
      <c r="AL24" s="6"/>
      <c r="AM24" s="6"/>
      <c r="AN24" s="6"/>
      <c r="AO24" s="6"/>
      <c r="AP24" s="6">
        <v>15760</v>
      </c>
      <c r="AQ24" s="6"/>
      <c r="AR24" s="6"/>
      <c r="AS24" s="6">
        <f>27200-13600</f>
        <v>13600</v>
      </c>
      <c r="AT24" s="6">
        <f>27200-13600</f>
        <v>13600</v>
      </c>
      <c r="AU24" s="6">
        <v>10200</v>
      </c>
      <c r="AV24" s="6"/>
      <c r="AW24" s="6">
        <v>27200</v>
      </c>
      <c r="AX24" s="6"/>
      <c r="AY24" s="6"/>
      <c r="AZ24" s="6">
        <v>138297.23000000001</v>
      </c>
      <c r="BA24" s="6"/>
      <c r="BB24" s="6"/>
      <c r="BC24" s="6"/>
      <c r="BD24" s="6"/>
      <c r="BE24" s="6"/>
      <c r="BF24" s="6"/>
      <c r="BG24" s="6"/>
      <c r="BH24" s="6"/>
      <c r="BI24" s="6"/>
      <c r="BJ24" s="6"/>
      <c r="BK24" s="6"/>
      <c r="BL24" s="6"/>
      <c r="BM24" s="6"/>
      <c r="BN24" s="6"/>
      <c r="BO24" s="6"/>
      <c r="BP24" s="6"/>
      <c r="BQ24" s="6"/>
      <c r="BR24" s="6">
        <v>13859</v>
      </c>
      <c r="BS24" s="6"/>
      <c r="BT24" s="6"/>
      <c r="BU24" s="6"/>
      <c r="BV24" s="6"/>
      <c r="BW24" s="6"/>
      <c r="BX24" s="6">
        <v>516430</v>
      </c>
      <c r="BY24" s="6"/>
      <c r="BZ24" s="6"/>
      <c r="CA24" s="6"/>
      <c r="CB24" s="6"/>
      <c r="CC24" s="6"/>
      <c r="CD24" s="6"/>
      <c r="CE24" s="6"/>
      <c r="CF24" s="6">
        <v>104157</v>
      </c>
      <c r="CG24" s="6">
        <f t="shared" si="0"/>
        <v>3047989.23</v>
      </c>
      <c r="CI24" s="6">
        <v>112569</v>
      </c>
      <c r="CJ24" s="6">
        <v>125223</v>
      </c>
      <c r="CK24" s="6">
        <v>90879</v>
      </c>
      <c r="CL24" s="6"/>
      <c r="CM24" s="6"/>
      <c r="CN24" s="6"/>
      <c r="CO24" s="6">
        <v>337707</v>
      </c>
      <c r="CP24" s="6">
        <v>74976</v>
      </c>
      <c r="CQ24" s="6">
        <v>1350828</v>
      </c>
      <c r="CR24" s="6"/>
      <c r="CS24" s="6"/>
      <c r="CT24" s="6"/>
      <c r="CU24" s="6"/>
      <c r="CV24" s="6"/>
      <c r="CW24" s="6"/>
      <c r="CX24" s="6">
        <v>0</v>
      </c>
      <c r="CY24" s="6"/>
      <c r="CZ24" s="6"/>
      <c r="DB24" s="6"/>
      <c r="DC24" s="6"/>
      <c r="DF24" s="6"/>
      <c r="DG24" s="6"/>
      <c r="DH24" s="6"/>
      <c r="DI24" s="6"/>
      <c r="DJ24" s="6"/>
      <c r="DK24" s="6"/>
      <c r="DL24" s="6">
        <v>4080</v>
      </c>
      <c r="DM24" s="6"/>
      <c r="DN24" s="6"/>
      <c r="DO24" s="6"/>
      <c r="DP24" s="6">
        <v>7425</v>
      </c>
      <c r="DU24" s="6">
        <f>VLOOKUP($A24,[3]Totals!$B$2:$K$119,10,FALSE)</f>
        <v>179083.55</v>
      </c>
      <c r="DV24" s="6">
        <f>VLOOKUP($A24,[3]Totals!$B$2:$K$119,9,FALSE)</f>
        <v>191509</v>
      </c>
    </row>
    <row r="25" spans="1:126" x14ac:dyDescent="0.2">
      <c r="A25" s="3">
        <v>247</v>
      </c>
      <c r="B25" s="2" t="s">
        <v>105</v>
      </c>
      <c r="C25" t="s">
        <v>7</v>
      </c>
      <c r="D25">
        <v>7</v>
      </c>
      <c r="E25" s="1">
        <v>232</v>
      </c>
      <c r="F25" s="4">
        <v>0.79300000000000004</v>
      </c>
      <c r="G25">
        <v>184</v>
      </c>
      <c r="H25" s="6">
        <v>195277</v>
      </c>
      <c r="I25" s="6"/>
      <c r="J25" s="6"/>
      <c r="K25" s="6">
        <v>67876</v>
      </c>
      <c r="L25" s="6">
        <v>4373</v>
      </c>
      <c r="M25" s="6">
        <v>78183</v>
      </c>
      <c r="N25" s="6">
        <v>60194</v>
      </c>
      <c r="O25" s="6">
        <v>50595</v>
      </c>
      <c r="P25" s="6">
        <f>91547+15105+5917.07</f>
        <v>112569.07</v>
      </c>
      <c r="Q25" s="6">
        <v>112569</v>
      </c>
      <c r="R25" s="6"/>
      <c r="S25" s="6">
        <v>225138</v>
      </c>
      <c r="T25" s="6">
        <f>112464</f>
        <v>112464</v>
      </c>
      <c r="U25" s="6"/>
      <c r="V25" s="6"/>
      <c r="W25" s="6"/>
      <c r="X25" s="6"/>
      <c r="Y25" s="6"/>
      <c r="Z25" s="6"/>
      <c r="AA25" s="6"/>
      <c r="AB25" s="6"/>
      <c r="AC25" s="6"/>
      <c r="AD25" s="6">
        <v>94381</v>
      </c>
      <c r="AE25" s="6">
        <v>112569</v>
      </c>
      <c r="AF25" s="6">
        <v>112569</v>
      </c>
      <c r="AG25" s="6">
        <v>675414</v>
      </c>
      <c r="AH25" s="6"/>
      <c r="AI25" s="6">
        <v>149952</v>
      </c>
      <c r="AJ25" s="6"/>
      <c r="AK25" s="6"/>
      <c r="AL25" s="6"/>
      <c r="AM25" s="6"/>
      <c r="AN25" s="6"/>
      <c r="AO25" s="6"/>
      <c r="AP25" s="6">
        <v>5628</v>
      </c>
      <c r="AQ25" s="6"/>
      <c r="AR25" s="6"/>
      <c r="AS25" s="6">
        <f>27200-20400</f>
        <v>6800</v>
      </c>
      <c r="AT25" s="6">
        <f>27200-6800</f>
        <v>20400</v>
      </c>
      <c r="AU25" s="6">
        <v>10200</v>
      </c>
      <c r="AV25" s="6"/>
      <c r="AW25" s="6">
        <v>27200</v>
      </c>
      <c r="AX25" s="6"/>
      <c r="AY25" s="6"/>
      <c r="AZ25" s="6">
        <v>211848.32500000001</v>
      </c>
      <c r="BA25" s="6"/>
      <c r="BB25" s="6"/>
      <c r="BC25" s="6">
        <v>112569</v>
      </c>
      <c r="BD25" s="6"/>
      <c r="BE25" s="6"/>
      <c r="BF25" s="6"/>
      <c r="BG25" s="6"/>
      <c r="BH25" s="6"/>
      <c r="BI25" s="6"/>
      <c r="BJ25" s="6"/>
      <c r="BK25" s="6"/>
      <c r="BL25" s="6"/>
      <c r="BM25" s="6"/>
      <c r="BN25" s="6"/>
      <c r="BO25" s="6"/>
      <c r="BP25" s="6"/>
      <c r="BQ25" s="6"/>
      <c r="BR25" s="6">
        <v>13859</v>
      </c>
      <c r="BS25" s="6"/>
      <c r="BT25" s="6"/>
      <c r="BU25" s="6"/>
      <c r="BV25" s="6"/>
      <c r="BW25" s="6"/>
      <c r="BX25" s="6">
        <v>465798</v>
      </c>
      <c r="BY25" s="6"/>
      <c r="BZ25" s="6"/>
      <c r="CA25" s="6"/>
      <c r="CB25" s="6"/>
      <c r="CC25" s="6">
        <v>47495</v>
      </c>
      <c r="CD25" s="6"/>
      <c r="CE25" s="6">
        <v>112569</v>
      </c>
      <c r="CF25" s="6">
        <v>106680</v>
      </c>
      <c r="CG25" s="6">
        <f t="shared" si="0"/>
        <v>3305169.3950000005</v>
      </c>
      <c r="CI25" s="6">
        <v>112569</v>
      </c>
      <c r="CJ25" s="6"/>
      <c r="CK25" s="6">
        <v>45440</v>
      </c>
      <c r="CL25" s="6"/>
      <c r="CM25" s="6"/>
      <c r="CN25" s="6"/>
      <c r="CO25" s="6">
        <v>337707</v>
      </c>
      <c r="CP25" s="6">
        <v>74976</v>
      </c>
      <c r="CQ25" s="6">
        <v>1238259</v>
      </c>
      <c r="CR25" s="6"/>
      <c r="CS25" s="6"/>
      <c r="CT25" s="6"/>
      <c r="CU25" s="6"/>
      <c r="CV25" s="6"/>
      <c r="CW25" s="6"/>
      <c r="CX25" s="6">
        <v>0</v>
      </c>
      <c r="CY25" s="6"/>
      <c r="CZ25" s="6"/>
      <c r="DB25" s="6"/>
      <c r="DC25" s="6"/>
      <c r="DF25" s="6"/>
      <c r="DG25" s="6"/>
      <c r="DH25" s="6"/>
      <c r="DI25" s="6"/>
      <c r="DJ25" s="6"/>
      <c r="DK25" s="6"/>
      <c r="DL25" s="6">
        <v>7404</v>
      </c>
      <c r="DM25" s="6"/>
      <c r="DN25" s="6"/>
      <c r="DO25" s="6"/>
      <c r="DP25" s="6">
        <v>21450</v>
      </c>
      <c r="DU25" s="6">
        <f>VLOOKUP($A25,[3]Totals!$B$2:$K$119,10,FALSE)</f>
        <v>161663.60999999999</v>
      </c>
      <c r="DV25" s="6">
        <f>VLOOKUP($A25,[3]Totals!$B$2:$K$119,9,FALSE)</f>
        <v>225138</v>
      </c>
    </row>
    <row r="26" spans="1:126" x14ac:dyDescent="0.2">
      <c r="A26" s="3">
        <v>360</v>
      </c>
      <c r="B26" s="2" t="s">
        <v>104</v>
      </c>
      <c r="C26" t="s">
        <v>4</v>
      </c>
      <c r="D26">
        <v>6</v>
      </c>
      <c r="E26" s="1">
        <v>355</v>
      </c>
      <c r="F26" s="4">
        <v>0.189</v>
      </c>
      <c r="G26">
        <v>67</v>
      </c>
      <c r="H26" s="6">
        <v>195277</v>
      </c>
      <c r="I26" s="6">
        <v>112569</v>
      </c>
      <c r="J26" s="6"/>
      <c r="K26" s="6">
        <v>67876</v>
      </c>
      <c r="L26" s="6">
        <v>4777</v>
      </c>
      <c r="M26" s="6">
        <v>78183</v>
      </c>
      <c r="N26" s="6">
        <v>60194</v>
      </c>
      <c r="O26" s="6">
        <v>101190</v>
      </c>
      <c r="P26" s="6">
        <v>112569</v>
      </c>
      <c r="Q26" s="6"/>
      <c r="R26" s="6">
        <v>900552</v>
      </c>
      <c r="S26" s="6"/>
      <c r="T26" s="6">
        <v>299904</v>
      </c>
      <c r="U26" s="6"/>
      <c r="V26" s="6"/>
      <c r="W26" s="6"/>
      <c r="X26" s="6"/>
      <c r="Y26" s="6"/>
      <c r="Z26" s="6"/>
      <c r="AA26" s="6"/>
      <c r="AB26" s="6"/>
      <c r="AC26" s="6"/>
      <c r="AD26" s="6">
        <v>136723</v>
      </c>
      <c r="AE26" s="6">
        <v>112569</v>
      </c>
      <c r="AF26" s="6">
        <v>112569</v>
      </c>
      <c r="AG26" s="6">
        <v>450276</v>
      </c>
      <c r="AH26" s="6"/>
      <c r="AI26" s="6"/>
      <c r="AJ26" s="6"/>
      <c r="AK26" s="6"/>
      <c r="AL26" s="6"/>
      <c r="AM26" s="6"/>
      <c r="AN26" s="6"/>
      <c r="AO26" s="6">
        <v>112569</v>
      </c>
      <c r="AP26" s="6"/>
      <c r="AQ26" s="6"/>
      <c r="AR26" s="6"/>
      <c r="AS26" s="6"/>
      <c r="AT26" s="6"/>
      <c r="AU26" s="6"/>
      <c r="AV26" s="6"/>
      <c r="AW26" s="6">
        <v>0</v>
      </c>
      <c r="AX26" s="6"/>
      <c r="AY26" s="6"/>
      <c r="AZ26" s="6">
        <v>0</v>
      </c>
      <c r="BA26" s="6"/>
      <c r="BB26" s="6">
        <v>8875</v>
      </c>
      <c r="BC26" s="6"/>
      <c r="BD26" s="6"/>
      <c r="BE26" s="6"/>
      <c r="BF26" s="6"/>
      <c r="BG26" s="6"/>
      <c r="BH26" s="6"/>
      <c r="BI26" s="6"/>
      <c r="BJ26" s="6"/>
      <c r="BK26" s="6"/>
      <c r="BL26" s="6"/>
      <c r="BM26" s="6"/>
      <c r="BN26" s="6"/>
      <c r="BO26" s="6"/>
      <c r="BP26" s="6"/>
      <c r="BQ26" s="6"/>
      <c r="BR26" s="6"/>
      <c r="BS26" s="6"/>
      <c r="BT26" s="6"/>
      <c r="BU26" s="6"/>
      <c r="BV26" s="6"/>
      <c r="BW26" s="6"/>
      <c r="BX26" s="6">
        <v>169612</v>
      </c>
      <c r="BY26" s="6"/>
      <c r="BZ26" s="6"/>
      <c r="CA26" s="6"/>
      <c r="CB26" s="6"/>
      <c r="CC26" s="6"/>
      <c r="CD26" s="6"/>
      <c r="CE26" s="6"/>
      <c r="CF26" s="6">
        <v>116131</v>
      </c>
      <c r="CG26" s="6">
        <f t="shared" si="0"/>
        <v>3152415</v>
      </c>
      <c r="CI26" s="6">
        <v>112569</v>
      </c>
      <c r="CJ26" s="6">
        <v>31306</v>
      </c>
      <c r="CK26" s="6">
        <v>90879</v>
      </c>
      <c r="CL26" s="6"/>
      <c r="CM26" s="6"/>
      <c r="CN26" s="6"/>
      <c r="CO26" s="6">
        <v>337707</v>
      </c>
      <c r="CP26" s="6">
        <v>74976</v>
      </c>
      <c r="CQ26" s="6">
        <v>1598480</v>
      </c>
      <c r="CR26" s="6">
        <v>225138</v>
      </c>
      <c r="CS26" s="6">
        <v>23000</v>
      </c>
      <c r="CT26" s="6"/>
      <c r="CU26" s="6">
        <v>100000</v>
      </c>
      <c r="CV26" s="6"/>
      <c r="CW26" s="6"/>
      <c r="CX26" s="6">
        <v>0</v>
      </c>
      <c r="CY26" s="6"/>
      <c r="CZ26" s="6"/>
      <c r="DB26" s="6"/>
      <c r="DC26" s="6"/>
      <c r="DF26" s="6"/>
      <c r="DG26" s="6"/>
      <c r="DH26" s="6"/>
      <c r="DI26" s="6"/>
      <c r="DJ26" s="6"/>
      <c r="DK26" s="6"/>
      <c r="DL26" s="6"/>
      <c r="DM26" s="6"/>
      <c r="DN26" s="6"/>
      <c r="DO26" s="6"/>
      <c r="DP26" s="6">
        <v>8550</v>
      </c>
      <c r="DU26" s="6">
        <f>VLOOKUP($A26,[3]Totals!$B$2:$K$119,10,FALSE)</f>
        <v>35038.51</v>
      </c>
      <c r="DV26" s="6">
        <f>VLOOKUP($A26,[3]Totals!$B$2:$K$119,9,FALSE)</f>
        <v>0</v>
      </c>
    </row>
    <row r="27" spans="1:126" x14ac:dyDescent="0.2">
      <c r="A27" s="3">
        <v>454</v>
      </c>
      <c r="B27" s="2" t="s">
        <v>103</v>
      </c>
      <c r="C27" t="s">
        <v>100</v>
      </c>
      <c r="D27">
        <v>1</v>
      </c>
      <c r="E27" s="1">
        <v>640</v>
      </c>
      <c r="F27" s="4">
        <v>0.79400000000000004</v>
      </c>
      <c r="G27">
        <v>508</v>
      </c>
      <c r="H27" s="6">
        <v>195277</v>
      </c>
      <c r="I27" s="6">
        <v>112569</v>
      </c>
      <c r="J27" s="6">
        <v>254496</v>
      </c>
      <c r="K27" s="6">
        <v>67876</v>
      </c>
      <c r="L27" s="6">
        <v>17336</v>
      </c>
      <c r="M27" s="6">
        <v>78183</v>
      </c>
      <c r="N27" s="6">
        <v>60194</v>
      </c>
      <c r="O27" s="6">
        <v>404760</v>
      </c>
      <c r="P27" s="6">
        <v>112569</v>
      </c>
      <c r="Q27" s="6"/>
      <c r="R27" s="6"/>
      <c r="S27" s="6"/>
      <c r="T27" s="6"/>
      <c r="U27" s="6"/>
      <c r="V27" s="6"/>
      <c r="W27" s="6"/>
      <c r="X27" s="6"/>
      <c r="Y27" s="6"/>
      <c r="Z27" s="6"/>
      <c r="AA27" s="6">
        <v>225138</v>
      </c>
      <c r="AB27" s="6"/>
      <c r="AC27" s="6"/>
      <c r="AD27" s="6">
        <v>317711</v>
      </c>
      <c r="AE27" s="6">
        <v>112569</v>
      </c>
      <c r="AF27" s="6">
        <v>562845</v>
      </c>
      <c r="AG27" s="6">
        <v>2476518</v>
      </c>
      <c r="AH27" s="6"/>
      <c r="AI27" s="6">
        <v>487344</v>
      </c>
      <c r="AJ27" s="6"/>
      <c r="AK27" s="6">
        <v>110030</v>
      </c>
      <c r="AL27" s="6"/>
      <c r="AM27" s="6"/>
      <c r="AN27" s="6"/>
      <c r="AO27" s="6">
        <v>1463397</v>
      </c>
      <c r="AP27" s="6"/>
      <c r="AQ27" s="6"/>
      <c r="AR27" s="6"/>
      <c r="AS27" s="6"/>
      <c r="AT27" s="6"/>
      <c r="AU27" s="6"/>
      <c r="AV27" s="6">
        <v>65000</v>
      </c>
      <c r="AW27" s="6">
        <v>0</v>
      </c>
      <c r="AX27" s="6"/>
      <c r="AY27" s="6"/>
      <c r="AZ27" s="6">
        <v>500376.55000000005</v>
      </c>
      <c r="BA27" s="6"/>
      <c r="BB27" s="6"/>
      <c r="BC27" s="6"/>
      <c r="BD27" s="6">
        <v>156529</v>
      </c>
      <c r="BE27" s="6">
        <v>14216</v>
      </c>
      <c r="BF27" s="6">
        <v>11000</v>
      </c>
      <c r="BG27" s="6">
        <v>32000</v>
      </c>
      <c r="BH27" s="6"/>
      <c r="BI27" s="6"/>
      <c r="BJ27" s="6"/>
      <c r="BK27" s="6"/>
      <c r="BL27" s="6"/>
      <c r="BM27" s="6"/>
      <c r="BN27" s="6">
        <v>112569</v>
      </c>
      <c r="BO27" s="6"/>
      <c r="BP27" s="6">
        <v>113946</v>
      </c>
      <c r="BQ27" s="6">
        <v>5000</v>
      </c>
      <c r="BR27" s="6"/>
      <c r="BS27" s="6"/>
      <c r="BT27" s="6"/>
      <c r="BU27" s="6">
        <v>144306</v>
      </c>
      <c r="BV27" s="6"/>
      <c r="BW27" s="6"/>
      <c r="BX27" s="6">
        <v>1425811</v>
      </c>
      <c r="BY27" s="6"/>
      <c r="BZ27" s="6"/>
      <c r="CA27" s="6"/>
      <c r="CB27" s="6"/>
      <c r="CC27" s="6">
        <v>1207628</v>
      </c>
      <c r="CD27" s="6"/>
      <c r="CE27" s="6"/>
      <c r="CF27" s="6">
        <v>225137</v>
      </c>
      <c r="CG27" s="6">
        <f t="shared" si="0"/>
        <v>11072330.550000001</v>
      </c>
      <c r="CI27" s="6">
        <v>112569</v>
      </c>
      <c r="CJ27" s="6">
        <v>328711</v>
      </c>
      <c r="CK27" s="6">
        <v>90879</v>
      </c>
      <c r="CL27" s="6">
        <v>81022</v>
      </c>
      <c r="CM27" s="6">
        <v>56854</v>
      </c>
      <c r="CN27" s="6">
        <v>69509</v>
      </c>
      <c r="CO27" s="6"/>
      <c r="CP27" s="6"/>
      <c r="CQ27" s="6">
        <f>3647236-DH27</f>
        <v>3001840.4000000004</v>
      </c>
      <c r="CR27" s="6">
        <v>225138</v>
      </c>
      <c r="CS27" s="6">
        <v>23000</v>
      </c>
      <c r="CT27" s="6">
        <v>5000</v>
      </c>
      <c r="CU27" s="6">
        <v>100000</v>
      </c>
      <c r="CV27" s="6">
        <v>117087</v>
      </c>
      <c r="CW27" s="6"/>
      <c r="CX27" s="6">
        <v>0</v>
      </c>
      <c r="CY27" s="6">
        <v>75000</v>
      </c>
      <c r="CZ27" s="6"/>
      <c r="DB27" s="6"/>
      <c r="DC27" s="6">
        <v>254496</v>
      </c>
      <c r="DF27" s="6"/>
      <c r="DG27" s="6"/>
      <c r="DH27" s="6">
        <f>'[2]pdf DetailxSch Pos'!AE25*'[2]pdf DetailxSch Pos'!AE$122</f>
        <v>645395.59999999974</v>
      </c>
      <c r="DI27" s="6">
        <v>156529</v>
      </c>
      <c r="DJ27" s="6"/>
      <c r="DK27" s="6"/>
      <c r="DL27" s="6">
        <v>20358</v>
      </c>
      <c r="DM27" s="6"/>
      <c r="DN27" s="6">
        <v>117087</v>
      </c>
      <c r="DO27" s="6"/>
      <c r="DP27" s="6">
        <v>58125</v>
      </c>
      <c r="DU27" s="6">
        <f>VLOOKUP($A27,[3]Totals!$B$2:$K$119,10,FALSE)</f>
        <v>261511.39</v>
      </c>
      <c r="DV27" s="6">
        <f>VLOOKUP($A27,[3]Totals!$B$2:$K$119,9,FALSE)</f>
        <v>426169</v>
      </c>
    </row>
    <row r="28" spans="1:126" x14ac:dyDescent="0.2">
      <c r="A28" s="3">
        <v>224</v>
      </c>
      <c r="B28" s="2" t="s">
        <v>102</v>
      </c>
      <c r="C28" t="s">
        <v>7</v>
      </c>
      <c r="D28">
        <v>1</v>
      </c>
      <c r="E28" s="1">
        <v>300</v>
      </c>
      <c r="F28" s="4">
        <v>0.437</v>
      </c>
      <c r="G28">
        <v>131</v>
      </c>
      <c r="H28" s="6">
        <v>195277</v>
      </c>
      <c r="I28" s="6"/>
      <c r="J28" s="6"/>
      <c r="K28" s="6">
        <v>67876</v>
      </c>
      <c r="L28" s="6">
        <v>4806</v>
      </c>
      <c r="M28" s="6">
        <v>78183</v>
      </c>
      <c r="N28" s="6">
        <v>60194</v>
      </c>
      <c r="O28" s="6">
        <v>101190</v>
      </c>
      <c r="P28" s="6">
        <v>112569</v>
      </c>
      <c r="Q28" s="6">
        <v>225138</v>
      </c>
      <c r="R28" s="6">
        <v>112569</v>
      </c>
      <c r="S28" s="6">
        <v>225138</v>
      </c>
      <c r="T28" s="6">
        <v>187440</v>
      </c>
      <c r="U28" s="6"/>
      <c r="V28" s="6"/>
      <c r="W28" s="6"/>
      <c r="X28" s="6"/>
      <c r="Y28" s="6"/>
      <c r="Z28" s="6"/>
      <c r="AA28" s="6"/>
      <c r="AB28" s="6"/>
      <c r="AC28" s="6"/>
      <c r="AD28" s="6">
        <v>117150</v>
      </c>
      <c r="AE28" s="6">
        <v>112569</v>
      </c>
      <c r="AF28" s="6">
        <v>112569</v>
      </c>
      <c r="AG28" s="6">
        <v>450276</v>
      </c>
      <c r="AH28" s="6"/>
      <c r="AI28" s="6"/>
      <c r="AJ28" s="6"/>
      <c r="AK28" s="6"/>
      <c r="AL28" s="6"/>
      <c r="AM28" s="6"/>
      <c r="AN28" s="6"/>
      <c r="AO28" s="6">
        <v>337707</v>
      </c>
      <c r="AP28" s="6"/>
      <c r="AQ28" s="6"/>
      <c r="AR28" s="6"/>
      <c r="AS28" s="6">
        <f>40800-20400</f>
        <v>20400</v>
      </c>
      <c r="AT28" s="6">
        <f>40800-20400</f>
        <v>20400</v>
      </c>
      <c r="AU28" s="6">
        <v>10200</v>
      </c>
      <c r="AV28" s="6"/>
      <c r="AW28" s="6">
        <v>40800</v>
      </c>
      <c r="AX28" s="6"/>
      <c r="AY28" s="6"/>
      <c r="AZ28" s="6">
        <v>136027.87</v>
      </c>
      <c r="BA28" s="6"/>
      <c r="BB28" s="6"/>
      <c r="BC28" s="6"/>
      <c r="BD28" s="6"/>
      <c r="BE28" s="6"/>
      <c r="BF28" s="6"/>
      <c r="BG28" s="6"/>
      <c r="BH28" s="6"/>
      <c r="BI28" s="6"/>
      <c r="BJ28" s="6"/>
      <c r="BK28" s="6"/>
      <c r="BL28" s="6"/>
      <c r="BM28" s="6"/>
      <c r="BN28" s="6"/>
      <c r="BO28" s="6"/>
      <c r="BP28" s="6"/>
      <c r="BQ28" s="6"/>
      <c r="BR28" s="6"/>
      <c r="BS28" s="6"/>
      <c r="BT28" s="6"/>
      <c r="BU28" s="6"/>
      <c r="BV28" s="6"/>
      <c r="BW28" s="6"/>
      <c r="BX28" s="6">
        <v>331629</v>
      </c>
      <c r="BY28" s="6"/>
      <c r="BZ28" s="6"/>
      <c r="CA28" s="6"/>
      <c r="CB28" s="6"/>
      <c r="CC28" s="6">
        <v>208304</v>
      </c>
      <c r="CD28" s="6"/>
      <c r="CE28" s="6"/>
      <c r="CF28" s="6">
        <v>56285</v>
      </c>
      <c r="CG28" s="6">
        <f t="shared" si="0"/>
        <v>3324696.87</v>
      </c>
      <c r="CI28" s="6">
        <v>112569</v>
      </c>
      <c r="CJ28" s="6">
        <v>125223</v>
      </c>
      <c r="CK28" s="6">
        <v>90879</v>
      </c>
      <c r="CL28" s="6"/>
      <c r="CM28" s="6"/>
      <c r="CN28" s="6"/>
      <c r="CO28" s="6">
        <f>506561-DG28</f>
        <v>337707</v>
      </c>
      <c r="CP28" s="6">
        <v>74976</v>
      </c>
      <c r="CQ28" s="6">
        <v>1350828</v>
      </c>
      <c r="CR28" s="6"/>
      <c r="CS28" s="6"/>
      <c r="CT28" s="6"/>
      <c r="CU28" s="6"/>
      <c r="CV28" s="6"/>
      <c r="CW28" s="6"/>
      <c r="CX28" s="6">
        <v>0</v>
      </c>
      <c r="CY28" s="6"/>
      <c r="CZ28" s="6"/>
      <c r="DB28" s="6"/>
      <c r="DC28" s="6"/>
      <c r="DF28" s="6"/>
      <c r="DG28" s="6">
        <v>168854</v>
      </c>
      <c r="DH28" s="6"/>
      <c r="DI28" s="6"/>
      <c r="DJ28" s="6"/>
      <c r="DK28" s="6"/>
      <c r="DL28" s="6">
        <v>2611</v>
      </c>
      <c r="DM28" s="6"/>
      <c r="DN28" s="6"/>
      <c r="DO28" s="6"/>
      <c r="DP28" s="6">
        <v>14575</v>
      </c>
      <c r="DU28" s="6">
        <f>VLOOKUP($A28,[3]Totals!$B$2:$K$119,10,FALSE)</f>
        <v>92286.02</v>
      </c>
      <c r="DV28" s="6">
        <f>VLOOKUP($A28,[3]Totals!$B$2:$K$119,9,FALSE)</f>
        <v>225138</v>
      </c>
    </row>
    <row r="29" spans="1:126" x14ac:dyDescent="0.2">
      <c r="A29" s="3">
        <v>442</v>
      </c>
      <c r="B29" s="2" t="s">
        <v>101</v>
      </c>
      <c r="C29" t="s">
        <v>100</v>
      </c>
      <c r="D29">
        <v>1</v>
      </c>
      <c r="E29" s="1">
        <v>1500</v>
      </c>
      <c r="F29" s="4">
        <v>0.56399999999999995</v>
      </c>
      <c r="G29">
        <v>846</v>
      </c>
      <c r="H29" s="6">
        <v>195277</v>
      </c>
      <c r="I29" s="6">
        <v>146340</v>
      </c>
      <c r="J29" s="6">
        <v>508992</v>
      </c>
      <c r="K29" s="6">
        <v>67876</v>
      </c>
      <c r="L29" s="6">
        <v>27976</v>
      </c>
      <c r="M29" s="6">
        <v>78183</v>
      </c>
      <c r="N29" s="6">
        <v>60194</v>
      </c>
      <c r="O29" s="6">
        <v>505950</v>
      </c>
      <c r="P29" s="6">
        <v>112569</v>
      </c>
      <c r="Q29" s="6"/>
      <c r="R29" s="6"/>
      <c r="S29" s="6"/>
      <c r="T29" s="6"/>
      <c r="U29" s="6"/>
      <c r="V29" s="6"/>
      <c r="W29" s="6"/>
      <c r="X29" s="6"/>
      <c r="Y29" s="6"/>
      <c r="Z29" s="6"/>
      <c r="AA29" s="6">
        <v>225138</v>
      </c>
      <c r="AB29" s="6"/>
      <c r="AC29" s="6"/>
      <c r="AD29" s="6">
        <v>585394</v>
      </c>
      <c r="AE29" s="6">
        <v>337707</v>
      </c>
      <c r="AF29" s="6">
        <v>562845</v>
      </c>
      <c r="AG29" s="6">
        <v>2589087</v>
      </c>
      <c r="AH29" s="6"/>
      <c r="AI29" s="6">
        <v>37488</v>
      </c>
      <c r="AJ29" s="6"/>
      <c r="AK29" s="6"/>
      <c r="AL29" s="6"/>
      <c r="AM29" s="6"/>
      <c r="AN29" s="6"/>
      <c r="AO29" s="6">
        <v>3039363</v>
      </c>
      <c r="AP29" s="6"/>
      <c r="AQ29" s="6">
        <v>74976</v>
      </c>
      <c r="AR29" s="6"/>
      <c r="AS29" s="6"/>
      <c r="AT29" s="6"/>
      <c r="AU29" s="6"/>
      <c r="AV29" s="6">
        <v>80000</v>
      </c>
      <c r="AW29" s="6">
        <v>0</v>
      </c>
      <c r="AX29" s="6"/>
      <c r="AY29" s="6"/>
      <c r="AZ29" s="6">
        <v>520889.36</v>
      </c>
      <c r="BA29" s="6"/>
      <c r="BB29" s="6"/>
      <c r="BC29" s="6"/>
      <c r="BD29" s="6"/>
      <c r="BE29" s="6"/>
      <c r="BF29" s="6"/>
      <c r="BG29" s="6">
        <v>43000</v>
      </c>
      <c r="BH29" s="6"/>
      <c r="BI29" s="6"/>
      <c r="BJ29" s="6"/>
      <c r="BK29" s="6"/>
      <c r="BL29" s="6"/>
      <c r="BM29" s="6"/>
      <c r="BN29" s="6"/>
      <c r="BO29" s="6"/>
      <c r="BP29" s="6"/>
      <c r="BQ29" s="6"/>
      <c r="BR29" s="6"/>
      <c r="BS29" s="6">
        <v>360000</v>
      </c>
      <c r="BT29" s="6"/>
      <c r="BU29" s="6">
        <v>288612</v>
      </c>
      <c r="BV29" s="6"/>
      <c r="BW29" s="6"/>
      <c r="BX29" s="6">
        <v>2374479.5</v>
      </c>
      <c r="BY29" s="6"/>
      <c r="BZ29" s="6"/>
      <c r="CA29" s="6"/>
      <c r="CB29" s="6"/>
      <c r="CC29" s="6"/>
      <c r="CD29" s="6"/>
      <c r="CE29" s="6"/>
      <c r="CF29" s="6">
        <v>225138</v>
      </c>
      <c r="CG29" s="6">
        <f t="shared" si="0"/>
        <v>13047473.859999999</v>
      </c>
      <c r="CI29" s="6">
        <v>112569</v>
      </c>
      <c r="CJ29" s="6">
        <v>782645</v>
      </c>
      <c r="CK29" s="6">
        <v>90879</v>
      </c>
      <c r="CL29" s="6">
        <v>192428</v>
      </c>
      <c r="CM29" s="6">
        <v>56854</v>
      </c>
      <c r="CN29" s="6">
        <v>69509</v>
      </c>
      <c r="CO29" s="6"/>
      <c r="CP29" s="6"/>
      <c r="CQ29" s="6">
        <f>7249444-DH29</f>
        <v>7035562.8999999994</v>
      </c>
      <c r="CR29" s="6">
        <v>337707</v>
      </c>
      <c r="CS29" s="6">
        <v>23000</v>
      </c>
      <c r="CT29" s="6">
        <v>5000</v>
      </c>
      <c r="CU29" s="6">
        <v>100000</v>
      </c>
      <c r="CV29" s="6">
        <v>117087</v>
      </c>
      <c r="CW29" s="6"/>
      <c r="CX29" s="6">
        <v>18706</v>
      </c>
      <c r="CY29" s="6"/>
      <c r="CZ29" s="6"/>
      <c r="DB29" s="6"/>
      <c r="DC29" s="6">
        <v>636240</v>
      </c>
      <c r="DF29" s="6"/>
      <c r="DG29" s="6"/>
      <c r="DH29" s="6">
        <f>'[2]pdf DetailxSch Pos'!AE27*'[2]pdf DetailxSch Pos'!AE$122</f>
        <v>213881.10000000065</v>
      </c>
      <c r="DI29" s="6"/>
      <c r="DJ29" s="6"/>
      <c r="DK29" s="6"/>
      <c r="DL29" s="6">
        <v>16927</v>
      </c>
      <c r="DM29" s="6"/>
      <c r="DN29" s="6">
        <v>117087</v>
      </c>
      <c r="DO29" s="6"/>
      <c r="DP29" s="6">
        <v>67275</v>
      </c>
      <c r="DU29" s="6">
        <f>VLOOKUP($A29,[3]Totals!$B$2:$K$119,10,FALSE)</f>
        <v>569787.63</v>
      </c>
      <c r="DV29" s="6">
        <f>VLOOKUP($A29,[3]Totals!$B$2:$K$119,9,FALSE)</f>
        <v>225138</v>
      </c>
    </row>
    <row r="30" spans="1:126" x14ac:dyDescent="0.2">
      <c r="A30" s="3">
        <v>455</v>
      </c>
      <c r="B30" s="2" t="s">
        <v>99</v>
      </c>
      <c r="C30" t="s">
        <v>1</v>
      </c>
      <c r="D30">
        <v>4</v>
      </c>
      <c r="E30" s="1">
        <v>696</v>
      </c>
      <c r="F30" s="4">
        <v>0.55600000000000005</v>
      </c>
      <c r="G30">
        <v>387</v>
      </c>
      <c r="H30" s="6">
        <v>195277</v>
      </c>
      <c r="I30" s="6"/>
      <c r="J30" s="6">
        <v>381744</v>
      </c>
      <c r="K30" s="6">
        <v>67876</v>
      </c>
      <c r="L30" s="6">
        <v>25319</v>
      </c>
      <c r="M30" s="6">
        <v>78183</v>
      </c>
      <c r="N30" s="6">
        <v>60194</v>
      </c>
      <c r="O30" s="6">
        <v>404760</v>
      </c>
      <c r="P30" s="6">
        <v>112569</v>
      </c>
      <c r="Q30" s="6"/>
      <c r="R30" s="6"/>
      <c r="S30" s="6"/>
      <c r="T30" s="6"/>
      <c r="U30" s="6"/>
      <c r="V30" s="6"/>
      <c r="W30" s="6"/>
      <c r="X30" s="6"/>
      <c r="Y30" s="6"/>
      <c r="Z30" s="6"/>
      <c r="AA30" s="6">
        <v>225138</v>
      </c>
      <c r="AB30" s="6"/>
      <c r="AC30" s="6"/>
      <c r="AD30" s="6">
        <v>303862</v>
      </c>
      <c r="AE30" s="6">
        <v>112569</v>
      </c>
      <c r="AF30" s="6">
        <v>337707</v>
      </c>
      <c r="AG30" s="6">
        <v>1463397</v>
      </c>
      <c r="AH30" s="6"/>
      <c r="AI30" s="6">
        <v>187440</v>
      </c>
      <c r="AJ30" s="6"/>
      <c r="AK30" s="6">
        <v>55015</v>
      </c>
      <c r="AL30" s="6"/>
      <c r="AM30" s="6"/>
      <c r="AN30" s="6"/>
      <c r="AO30" s="6">
        <v>787983</v>
      </c>
      <c r="AP30" s="6"/>
      <c r="AQ30" s="6">
        <v>37488</v>
      </c>
      <c r="AR30" s="6"/>
      <c r="AS30" s="6"/>
      <c r="AT30" s="6"/>
      <c r="AU30" s="6"/>
      <c r="AV30" s="6">
        <v>60000</v>
      </c>
      <c r="AW30" s="6">
        <v>0</v>
      </c>
      <c r="AX30" s="6"/>
      <c r="AY30" s="6"/>
      <c r="AZ30" s="6">
        <v>522767.91000000003</v>
      </c>
      <c r="BA30" s="6"/>
      <c r="BB30" s="6"/>
      <c r="BC30" s="6"/>
      <c r="BD30" s="6">
        <v>156529</v>
      </c>
      <c r="BE30" s="6">
        <v>8416</v>
      </c>
      <c r="BF30" s="6">
        <v>16800</v>
      </c>
      <c r="BG30" s="6">
        <v>29000</v>
      </c>
      <c r="BH30" s="6"/>
      <c r="BI30" s="6"/>
      <c r="BJ30" s="6"/>
      <c r="BK30" s="6"/>
      <c r="BL30" s="6">
        <v>144306</v>
      </c>
      <c r="BM30" s="6"/>
      <c r="BN30" s="6"/>
      <c r="BO30" s="6"/>
      <c r="BP30" s="6"/>
      <c r="BQ30" s="6"/>
      <c r="BR30" s="6"/>
      <c r="BS30" s="6">
        <v>832710</v>
      </c>
      <c r="BT30" s="6"/>
      <c r="BU30" s="6">
        <v>288612</v>
      </c>
      <c r="BV30" s="6">
        <v>117087</v>
      </c>
      <c r="BW30" s="6"/>
      <c r="BX30" s="6">
        <v>1086199</v>
      </c>
      <c r="BY30" s="6"/>
      <c r="BZ30" s="6"/>
      <c r="CA30" s="6"/>
      <c r="CB30" s="6"/>
      <c r="CC30" s="6"/>
      <c r="CD30" s="6"/>
      <c r="CE30" s="6"/>
      <c r="CF30" s="6">
        <v>0</v>
      </c>
      <c r="CG30" s="6">
        <f t="shared" si="0"/>
        <v>8098947.9100000001</v>
      </c>
      <c r="CI30" s="6">
        <v>112569</v>
      </c>
      <c r="CJ30" s="6">
        <v>360017</v>
      </c>
      <c r="CK30" s="6">
        <v>90879</v>
      </c>
      <c r="CL30" s="6">
        <v>86086</v>
      </c>
      <c r="CM30" s="6">
        <v>56854</v>
      </c>
      <c r="CN30" s="6">
        <v>69509</v>
      </c>
      <c r="CO30" s="6"/>
      <c r="CP30" s="6"/>
      <c r="CQ30" s="6">
        <f>4234846-DH30</f>
        <v>3264501.22</v>
      </c>
      <c r="CR30" s="6"/>
      <c r="CS30" s="6"/>
      <c r="CT30" s="6"/>
      <c r="CU30" s="6"/>
      <c r="CV30" s="6">
        <v>117087</v>
      </c>
      <c r="CW30" s="6"/>
      <c r="CX30" s="6">
        <v>24641</v>
      </c>
      <c r="CY30" s="6">
        <v>75000</v>
      </c>
      <c r="CZ30" s="6"/>
      <c r="DB30" s="6"/>
      <c r="DC30" s="6">
        <v>127248</v>
      </c>
      <c r="DF30" s="6"/>
      <c r="DG30" s="6"/>
      <c r="DH30" s="6">
        <f>'[2]pdf DetailxSch Pos'!AE28*'[2]pdf DetailxSch Pos'!AE$122</f>
        <v>970344.77999999968</v>
      </c>
      <c r="DI30" s="6"/>
      <c r="DJ30" s="6"/>
      <c r="DK30" s="6"/>
      <c r="DL30" s="6">
        <v>7745</v>
      </c>
      <c r="DM30" s="6"/>
      <c r="DN30" s="6">
        <v>117087</v>
      </c>
      <c r="DO30" s="6"/>
      <c r="DP30" s="6">
        <v>12100</v>
      </c>
      <c r="DU30" s="6">
        <f>VLOOKUP($A30,[3]Totals!$B$2:$K$119,10,FALSE)</f>
        <v>270050.21000000002</v>
      </c>
      <c r="DV30" s="6">
        <f>VLOOKUP($A30,[3]Totals!$B$2:$K$119,9,FALSE)</f>
        <v>0</v>
      </c>
    </row>
    <row r="31" spans="1:126" x14ac:dyDescent="0.2">
      <c r="A31" s="3">
        <v>405</v>
      </c>
      <c r="B31" s="2" t="s">
        <v>98</v>
      </c>
      <c r="C31" t="s">
        <v>19</v>
      </c>
      <c r="D31">
        <v>3</v>
      </c>
      <c r="E31" s="8">
        <v>1466</v>
      </c>
      <c r="F31" s="7">
        <v>0.111</v>
      </c>
      <c r="G31">
        <v>163</v>
      </c>
      <c r="H31" s="6">
        <v>195277</v>
      </c>
      <c r="I31" s="6">
        <v>416505</v>
      </c>
      <c r="J31" s="6"/>
      <c r="K31" s="6">
        <v>67876</v>
      </c>
      <c r="L31" s="6">
        <v>10330</v>
      </c>
      <c r="M31" s="6">
        <v>78183</v>
      </c>
      <c r="N31" s="6">
        <v>60194</v>
      </c>
      <c r="O31" s="6">
        <v>354165</v>
      </c>
      <c r="P31" s="6">
        <v>112569</v>
      </c>
      <c r="Q31" s="6"/>
      <c r="R31" s="6"/>
      <c r="S31" s="6"/>
      <c r="T31" s="6"/>
      <c r="U31" s="6"/>
      <c r="V31" s="6"/>
      <c r="W31" s="6"/>
      <c r="X31" s="6"/>
      <c r="Y31" s="6"/>
      <c r="Z31" s="6"/>
      <c r="AA31" s="6"/>
      <c r="AB31" s="6"/>
      <c r="AC31" s="6"/>
      <c r="AD31" s="6">
        <v>458916</v>
      </c>
      <c r="AE31" s="6">
        <v>225138</v>
      </c>
      <c r="AF31" s="6">
        <v>337707</v>
      </c>
      <c r="AG31" s="6">
        <v>1913673</v>
      </c>
      <c r="AH31" s="6"/>
      <c r="AI31" s="6">
        <v>112464</v>
      </c>
      <c r="AJ31" s="6"/>
      <c r="AK31" s="6"/>
      <c r="AL31" s="6"/>
      <c r="AM31" s="6"/>
      <c r="AN31" s="6"/>
      <c r="AO31" s="6">
        <v>675414</v>
      </c>
      <c r="AP31" s="6"/>
      <c r="AQ31" s="6"/>
      <c r="AR31" s="6"/>
      <c r="AS31" s="6"/>
      <c r="AT31" s="6"/>
      <c r="AU31" s="6"/>
      <c r="AV31" s="6"/>
      <c r="AW31" s="6">
        <v>0</v>
      </c>
      <c r="AX31" s="6"/>
      <c r="AY31" s="6"/>
      <c r="AZ31" s="6">
        <v>0</v>
      </c>
      <c r="BA31" s="6"/>
      <c r="BB31" s="6">
        <v>36650</v>
      </c>
      <c r="BC31" s="6"/>
      <c r="BD31" s="6"/>
      <c r="BE31" s="6"/>
      <c r="BF31" s="6"/>
      <c r="BG31" s="6"/>
      <c r="BH31" s="6">
        <v>117087</v>
      </c>
      <c r="BI31" s="6">
        <v>15087</v>
      </c>
      <c r="BJ31" s="6"/>
      <c r="BK31" s="6"/>
      <c r="BL31" s="6"/>
      <c r="BM31" s="6"/>
      <c r="BN31" s="6"/>
      <c r="BO31" s="6"/>
      <c r="BP31" s="6"/>
      <c r="BQ31" s="6"/>
      <c r="BR31" s="6"/>
      <c r="BS31" s="6"/>
      <c r="BT31" s="6"/>
      <c r="BU31" s="6"/>
      <c r="BV31" s="6"/>
      <c r="BW31" s="6"/>
      <c r="BX31" s="6">
        <v>412638</v>
      </c>
      <c r="BY31" s="6"/>
      <c r="BZ31" s="6"/>
      <c r="CA31" s="6"/>
      <c r="CB31" s="6"/>
      <c r="CC31" s="6">
        <v>170905</v>
      </c>
      <c r="CD31" s="6">
        <v>471160</v>
      </c>
      <c r="CE31" s="6">
        <v>337707</v>
      </c>
      <c r="CF31" s="6">
        <v>284671</v>
      </c>
      <c r="CG31" s="6">
        <f t="shared" si="0"/>
        <v>6864316</v>
      </c>
      <c r="CI31" s="6">
        <v>112569</v>
      </c>
      <c r="CJ31" s="6">
        <v>766992</v>
      </c>
      <c r="CK31" s="6">
        <v>90879</v>
      </c>
      <c r="CL31" s="6">
        <v>187364</v>
      </c>
      <c r="CM31" s="6"/>
      <c r="CN31" s="6"/>
      <c r="CO31" s="6"/>
      <c r="CP31" s="6"/>
      <c r="CQ31" s="6">
        <v>7497095</v>
      </c>
      <c r="CR31" s="6">
        <v>337707</v>
      </c>
      <c r="CS31" s="6">
        <v>23000</v>
      </c>
      <c r="CT31" s="6"/>
      <c r="CU31" s="6">
        <v>100000</v>
      </c>
      <c r="CV31" s="6"/>
      <c r="CW31" s="6"/>
      <c r="CX31" s="6">
        <v>0</v>
      </c>
      <c r="CY31" s="6"/>
      <c r="CZ31" s="6"/>
      <c r="DB31" s="6">
        <v>112569</v>
      </c>
      <c r="DC31" s="6"/>
      <c r="DF31" s="6"/>
      <c r="DG31" s="6"/>
      <c r="DH31" s="6"/>
      <c r="DI31" s="6"/>
      <c r="DJ31" s="6"/>
      <c r="DK31" s="6"/>
      <c r="DL31" s="6"/>
      <c r="DM31" s="6"/>
      <c r="DN31" s="6"/>
      <c r="DO31" s="6"/>
      <c r="DP31" s="6">
        <v>32175</v>
      </c>
      <c r="DU31" s="6">
        <f>VLOOKUP($A31,[3]Totals!$B$2:$K$119,10,FALSE)</f>
        <v>191587.37</v>
      </c>
      <c r="DV31" s="6">
        <f>VLOOKUP($A31,[3]Totals!$B$2:$K$119,9,FALSE)</f>
        <v>369037</v>
      </c>
    </row>
    <row r="32" spans="1:126" x14ac:dyDescent="0.2">
      <c r="A32" s="3">
        <v>349</v>
      </c>
      <c r="B32" s="2" t="s">
        <v>97</v>
      </c>
      <c r="C32" t="s">
        <v>7</v>
      </c>
      <c r="D32">
        <v>4</v>
      </c>
      <c r="E32" s="8">
        <v>452</v>
      </c>
      <c r="F32" s="7">
        <v>0.40699999999999997</v>
      </c>
      <c r="G32">
        <v>184</v>
      </c>
      <c r="H32" s="6">
        <v>195277</v>
      </c>
      <c r="I32" s="6"/>
      <c r="J32" s="6"/>
      <c r="K32" s="6">
        <v>67876</v>
      </c>
      <c r="L32" s="6">
        <v>4271</v>
      </c>
      <c r="M32" s="6">
        <v>78183</v>
      </c>
      <c r="N32" s="6">
        <v>60194</v>
      </c>
      <c r="O32" s="6">
        <v>101190</v>
      </c>
      <c r="P32" s="6">
        <v>112569</v>
      </c>
      <c r="Q32" s="6">
        <v>562845</v>
      </c>
      <c r="R32" s="6"/>
      <c r="S32" s="6">
        <v>562845</v>
      </c>
      <c r="T32" s="6">
        <v>337392</v>
      </c>
      <c r="U32" s="6"/>
      <c r="V32" s="6"/>
      <c r="W32" s="6"/>
      <c r="X32" s="6"/>
      <c r="Y32" s="6"/>
      <c r="Z32" s="6"/>
      <c r="AA32" s="6"/>
      <c r="AB32" s="6"/>
      <c r="AC32" s="6"/>
      <c r="AD32" s="6">
        <v>188634</v>
      </c>
      <c r="AE32" s="6">
        <v>112569</v>
      </c>
      <c r="AF32" s="6">
        <v>225138</v>
      </c>
      <c r="AG32" s="6">
        <v>787983</v>
      </c>
      <c r="AH32" s="6"/>
      <c r="AI32" s="6">
        <v>224928</v>
      </c>
      <c r="AJ32" s="6"/>
      <c r="AK32" s="6"/>
      <c r="AL32" s="6"/>
      <c r="AM32" s="6"/>
      <c r="AN32" s="6"/>
      <c r="AO32" s="6">
        <v>1238259</v>
      </c>
      <c r="AP32" s="6"/>
      <c r="AQ32" s="6"/>
      <c r="AR32" s="6"/>
      <c r="AS32" s="6"/>
      <c r="AT32" s="6"/>
      <c r="AU32" s="6"/>
      <c r="AV32" s="6"/>
      <c r="AW32" s="6">
        <v>0</v>
      </c>
      <c r="AX32" s="6"/>
      <c r="AY32" s="6"/>
      <c r="AZ32" s="6">
        <v>204953.19</v>
      </c>
      <c r="BA32" s="6"/>
      <c r="BB32" s="6"/>
      <c r="BC32" s="6"/>
      <c r="BD32" s="6"/>
      <c r="BE32" s="6"/>
      <c r="BF32" s="6"/>
      <c r="BG32" s="6"/>
      <c r="BH32" s="6"/>
      <c r="BI32" s="6"/>
      <c r="BJ32" s="6"/>
      <c r="BK32" s="6"/>
      <c r="BL32" s="6"/>
      <c r="BM32" s="6"/>
      <c r="BN32" s="6"/>
      <c r="BO32" s="6"/>
      <c r="BP32" s="6"/>
      <c r="BQ32" s="6"/>
      <c r="BR32" s="6"/>
      <c r="BS32" s="6"/>
      <c r="BT32" s="6"/>
      <c r="BU32" s="6"/>
      <c r="BV32" s="6"/>
      <c r="BW32" s="6"/>
      <c r="BX32" s="6">
        <v>465800</v>
      </c>
      <c r="BY32" s="6"/>
      <c r="BZ32" s="6"/>
      <c r="CA32" s="6"/>
      <c r="CB32" s="6"/>
      <c r="CC32" s="6">
        <v>45581</v>
      </c>
      <c r="CD32" s="6"/>
      <c r="CE32" s="6"/>
      <c r="CF32" s="6">
        <v>262626</v>
      </c>
      <c r="CG32" s="6">
        <f t="shared" si="0"/>
        <v>5839113.1900000004</v>
      </c>
      <c r="CI32" s="6">
        <v>112569</v>
      </c>
      <c r="CJ32" s="6">
        <v>172182</v>
      </c>
      <c r="CK32" s="6">
        <v>90879</v>
      </c>
      <c r="CL32" s="6">
        <v>55703</v>
      </c>
      <c r="CM32" s="6"/>
      <c r="CN32" s="6"/>
      <c r="CO32" s="6">
        <v>506561</v>
      </c>
      <c r="CP32" s="6">
        <v>112464</v>
      </c>
      <c r="CQ32" s="6">
        <v>1913673</v>
      </c>
      <c r="CR32" s="6"/>
      <c r="CS32" s="6"/>
      <c r="CT32" s="6"/>
      <c r="CU32" s="6"/>
      <c r="CV32" s="6"/>
      <c r="CW32" s="6"/>
      <c r="CX32" s="6">
        <v>0</v>
      </c>
      <c r="CY32" s="6"/>
      <c r="CZ32" s="6"/>
      <c r="DB32" s="6">
        <v>225138</v>
      </c>
      <c r="DC32" s="6"/>
      <c r="DF32" s="6"/>
      <c r="DG32" s="6"/>
      <c r="DH32" s="6"/>
      <c r="DI32" s="6"/>
      <c r="DJ32" s="6"/>
      <c r="DK32" s="6"/>
      <c r="DL32" s="6">
        <v>3673</v>
      </c>
      <c r="DM32" s="6"/>
      <c r="DN32" s="6"/>
      <c r="DO32" s="6"/>
      <c r="DP32" s="6">
        <v>15400</v>
      </c>
      <c r="DU32" s="6">
        <f>VLOOKUP($A32,[3]Totals!$B$2:$K$119,10,FALSE)</f>
        <v>186366.74</v>
      </c>
      <c r="DV32" s="6">
        <f>VLOOKUP($A32,[3]Totals!$B$2:$K$119,9,FALSE)</f>
        <v>105424</v>
      </c>
    </row>
    <row r="33" spans="1:126" x14ac:dyDescent="0.2">
      <c r="A33" s="3">
        <v>231</v>
      </c>
      <c r="B33" s="2" t="s">
        <v>96</v>
      </c>
      <c r="C33" t="s">
        <v>7</v>
      </c>
      <c r="D33">
        <v>7</v>
      </c>
      <c r="E33" s="8">
        <v>223</v>
      </c>
      <c r="F33" s="7">
        <v>0.74</v>
      </c>
      <c r="G33">
        <v>165</v>
      </c>
      <c r="H33" s="6">
        <v>195277</v>
      </c>
      <c r="I33" s="6"/>
      <c r="J33" s="6"/>
      <c r="K33" s="6">
        <v>67876</v>
      </c>
      <c r="L33" s="6">
        <v>4391</v>
      </c>
      <c r="M33" s="6">
        <v>78183</v>
      </c>
      <c r="N33" s="6">
        <v>60194</v>
      </c>
      <c r="O33" s="6">
        <v>50595</v>
      </c>
      <c r="P33" s="6">
        <f>91547+15105+5917.07</f>
        <v>112569.07</v>
      </c>
      <c r="Q33" s="6">
        <v>112569</v>
      </c>
      <c r="R33" s="6">
        <v>112569</v>
      </c>
      <c r="S33" s="6">
        <v>112569</v>
      </c>
      <c r="T33" s="6">
        <v>112464</v>
      </c>
      <c r="U33" s="6"/>
      <c r="V33" s="6"/>
      <c r="W33" s="6"/>
      <c r="X33" s="6"/>
      <c r="Y33" s="6"/>
      <c r="Z33" s="6"/>
      <c r="AA33" s="6"/>
      <c r="AB33" s="6"/>
      <c r="AC33" s="6"/>
      <c r="AD33" s="6">
        <v>91954</v>
      </c>
      <c r="AE33" s="6">
        <v>112569</v>
      </c>
      <c r="AF33" s="6">
        <v>112569</v>
      </c>
      <c r="AG33" s="6">
        <v>675414</v>
      </c>
      <c r="AH33" s="6"/>
      <c r="AI33" s="6">
        <v>149952</v>
      </c>
      <c r="AJ33" s="6"/>
      <c r="AK33" s="6"/>
      <c r="AL33" s="6"/>
      <c r="AM33" s="6"/>
      <c r="AN33" s="6"/>
      <c r="AO33" s="6"/>
      <c r="AP33" s="6">
        <v>46153</v>
      </c>
      <c r="AQ33" s="6"/>
      <c r="AR33" s="6"/>
      <c r="AS33" s="6">
        <f>27200-20400</f>
        <v>6800</v>
      </c>
      <c r="AT33" s="6">
        <f>27200-20400</f>
        <v>6800</v>
      </c>
      <c r="AU33" s="6">
        <v>10200</v>
      </c>
      <c r="AV33" s="6"/>
      <c r="AW33" s="6">
        <v>40800</v>
      </c>
      <c r="AX33" s="6"/>
      <c r="AY33" s="6"/>
      <c r="AZ33" s="6">
        <v>101115.95</v>
      </c>
      <c r="BA33" s="6"/>
      <c r="BB33" s="6"/>
      <c r="BC33" s="6"/>
      <c r="BD33" s="6"/>
      <c r="BE33" s="6"/>
      <c r="BF33" s="6"/>
      <c r="BG33" s="6"/>
      <c r="BH33" s="6"/>
      <c r="BI33" s="6"/>
      <c r="BJ33" s="6"/>
      <c r="BK33" s="6"/>
      <c r="BL33" s="6"/>
      <c r="BM33" s="6"/>
      <c r="BN33" s="6"/>
      <c r="BO33" s="6"/>
      <c r="BP33" s="6"/>
      <c r="BQ33" s="6"/>
      <c r="BR33" s="6">
        <v>13859</v>
      </c>
      <c r="BS33" s="6"/>
      <c r="BT33" s="6"/>
      <c r="BU33" s="6"/>
      <c r="BV33" s="6"/>
      <c r="BW33" s="6"/>
      <c r="BX33" s="6">
        <v>417700</v>
      </c>
      <c r="BY33" s="6"/>
      <c r="BZ33" s="6"/>
      <c r="CA33" s="6"/>
      <c r="CB33" s="6"/>
      <c r="CC33" s="6"/>
      <c r="CD33" s="6"/>
      <c r="CE33" s="6">
        <v>112569</v>
      </c>
      <c r="CF33" s="6">
        <v>0</v>
      </c>
      <c r="CG33" s="6">
        <f t="shared" si="0"/>
        <v>2917711.0200000005</v>
      </c>
      <c r="CI33" s="6">
        <v>112569</v>
      </c>
      <c r="CJ33" s="6"/>
      <c r="CK33" s="6">
        <v>45440</v>
      </c>
      <c r="CL33" s="6"/>
      <c r="CM33" s="6"/>
      <c r="CN33" s="6"/>
      <c r="CO33" s="6">
        <v>337707</v>
      </c>
      <c r="CP33" s="6">
        <v>74976</v>
      </c>
      <c r="CQ33" s="6">
        <v>1125690</v>
      </c>
      <c r="CR33" s="6"/>
      <c r="CS33" s="6"/>
      <c r="CT33" s="6"/>
      <c r="CU33" s="6"/>
      <c r="CV33" s="6"/>
      <c r="CW33" s="6"/>
      <c r="CX33" s="6">
        <v>0</v>
      </c>
      <c r="CY33" s="6"/>
      <c r="CZ33" s="6"/>
      <c r="DB33" s="6"/>
      <c r="DC33" s="6"/>
      <c r="DF33" s="6"/>
      <c r="DG33" s="6"/>
      <c r="DH33" s="6"/>
      <c r="DI33" s="6"/>
      <c r="DJ33" s="6"/>
      <c r="DK33" s="6"/>
      <c r="DL33" s="6">
        <v>3328</v>
      </c>
      <c r="DM33" s="6"/>
      <c r="DN33" s="6"/>
      <c r="DO33" s="6"/>
      <c r="DP33" s="6">
        <v>17225</v>
      </c>
      <c r="DU33" s="6">
        <f>VLOOKUP($A33,[3]Totals!$B$2:$K$119,10,FALSE)</f>
        <v>126964.59</v>
      </c>
      <c r="DV33" s="6">
        <f>VLOOKUP($A33,[3]Totals!$B$2:$K$119,9,FALSE)</f>
        <v>225138</v>
      </c>
    </row>
    <row r="34" spans="1:126" x14ac:dyDescent="0.2">
      <c r="A34" s="3">
        <v>467</v>
      </c>
      <c r="B34" s="2" t="s">
        <v>95</v>
      </c>
      <c r="C34" t="s">
        <v>1</v>
      </c>
      <c r="D34">
        <v>5</v>
      </c>
      <c r="E34" s="8">
        <v>662</v>
      </c>
      <c r="F34" s="7">
        <v>0.67800000000000005</v>
      </c>
      <c r="G34">
        <v>449</v>
      </c>
      <c r="H34" s="6">
        <v>195277</v>
      </c>
      <c r="I34" s="6"/>
      <c r="J34" s="6">
        <v>381744</v>
      </c>
      <c r="K34" s="6">
        <v>67876</v>
      </c>
      <c r="L34" s="6">
        <v>17368</v>
      </c>
      <c r="M34" s="6">
        <v>78183</v>
      </c>
      <c r="N34" s="6">
        <v>60194</v>
      </c>
      <c r="O34" s="6">
        <v>455355</v>
      </c>
      <c r="P34" s="6">
        <v>112569</v>
      </c>
      <c r="Q34" s="6"/>
      <c r="R34" s="6"/>
      <c r="S34" s="6"/>
      <c r="T34" s="6"/>
      <c r="U34" s="6"/>
      <c r="V34" s="6"/>
      <c r="W34" s="6"/>
      <c r="X34" s="6"/>
      <c r="Y34" s="6"/>
      <c r="Z34" s="6"/>
      <c r="AA34" s="6">
        <v>225138</v>
      </c>
      <c r="AB34" s="6"/>
      <c r="AC34" s="6"/>
      <c r="AD34" s="6">
        <v>286613</v>
      </c>
      <c r="AE34" s="6">
        <v>225138</v>
      </c>
      <c r="AF34" s="6">
        <v>450276</v>
      </c>
      <c r="AG34" s="6">
        <v>1575966</v>
      </c>
      <c r="AH34" s="6"/>
      <c r="AI34" s="6">
        <v>187440</v>
      </c>
      <c r="AJ34" s="6"/>
      <c r="AK34" s="6">
        <v>55015</v>
      </c>
      <c r="AL34" s="6"/>
      <c r="AM34" s="6"/>
      <c r="AN34" s="6"/>
      <c r="AO34" s="6">
        <v>112569</v>
      </c>
      <c r="AP34" s="6"/>
      <c r="AQ34" s="6"/>
      <c r="AR34" s="6"/>
      <c r="AS34" s="6"/>
      <c r="AT34" s="6"/>
      <c r="AU34" s="6"/>
      <c r="AV34" s="6">
        <v>75000</v>
      </c>
      <c r="AW34" s="6">
        <v>0</v>
      </c>
      <c r="AX34" s="6"/>
      <c r="AY34" s="6"/>
      <c r="AZ34" s="6">
        <v>520350.64</v>
      </c>
      <c r="BA34" s="6"/>
      <c r="BB34" s="6"/>
      <c r="BC34" s="6"/>
      <c r="BD34" s="6">
        <v>156529</v>
      </c>
      <c r="BE34" s="6">
        <v>12216</v>
      </c>
      <c r="BF34" s="6">
        <v>23000</v>
      </c>
      <c r="BG34" s="6">
        <v>32000</v>
      </c>
      <c r="BH34" s="6"/>
      <c r="BI34" s="6"/>
      <c r="BJ34" s="6"/>
      <c r="BK34" s="6"/>
      <c r="BL34" s="6"/>
      <c r="BM34" s="6"/>
      <c r="BN34" s="6">
        <v>112569</v>
      </c>
      <c r="BO34" s="6"/>
      <c r="BP34" s="6">
        <v>113946</v>
      </c>
      <c r="BQ34" s="6">
        <v>5000</v>
      </c>
      <c r="BR34" s="6"/>
      <c r="BS34" s="6"/>
      <c r="BT34" s="6"/>
      <c r="BU34" s="6">
        <v>144306</v>
      </c>
      <c r="BV34" s="6">
        <v>117087</v>
      </c>
      <c r="BW34" s="6"/>
      <c r="BX34" s="6">
        <v>1260215</v>
      </c>
      <c r="BY34" s="6"/>
      <c r="BZ34" s="6"/>
      <c r="CA34" s="6"/>
      <c r="CB34" s="6"/>
      <c r="CC34" s="6"/>
      <c r="CD34" s="6"/>
      <c r="CE34" s="6"/>
      <c r="CF34" s="6">
        <v>112569</v>
      </c>
      <c r="CG34" s="6">
        <f t="shared" si="0"/>
        <v>7171508.6399999997</v>
      </c>
      <c r="CI34" s="6">
        <v>112569</v>
      </c>
      <c r="CJ34" s="6">
        <v>344364</v>
      </c>
      <c r="CK34" s="6">
        <v>90879</v>
      </c>
      <c r="CL34" s="6">
        <v>86086</v>
      </c>
      <c r="CM34" s="6">
        <v>56854</v>
      </c>
      <c r="CN34" s="6">
        <v>69509</v>
      </c>
      <c r="CO34" s="6"/>
      <c r="CP34" s="6"/>
      <c r="CQ34" s="6">
        <f>3969183-DH34</f>
        <v>3105028.31</v>
      </c>
      <c r="CR34" s="6"/>
      <c r="CS34" s="6"/>
      <c r="CT34" s="6"/>
      <c r="CU34" s="6"/>
      <c r="CV34" s="6">
        <v>117087</v>
      </c>
      <c r="CW34" s="6"/>
      <c r="CX34" s="6">
        <v>20877</v>
      </c>
      <c r="CY34" s="6"/>
      <c r="CZ34" s="6"/>
      <c r="DB34" s="6"/>
      <c r="DC34" s="6"/>
      <c r="DF34" s="6"/>
      <c r="DG34" s="6"/>
      <c r="DH34" s="6">
        <f>'[2]pdf DetailxSch Pos'!AE32*'[2]pdf DetailxSch Pos'!AE$122</f>
        <v>864154.69</v>
      </c>
      <c r="DI34" s="6"/>
      <c r="DJ34" s="6"/>
      <c r="DK34" s="6"/>
      <c r="DL34" s="6">
        <v>8978</v>
      </c>
      <c r="DM34" s="6"/>
      <c r="DN34" s="6">
        <v>117087</v>
      </c>
      <c r="DO34" s="6"/>
      <c r="DP34" s="6">
        <v>52125</v>
      </c>
      <c r="DU34" s="6">
        <f>VLOOKUP($A34,[3]Totals!$B$2:$K$119,10,FALSE)</f>
        <v>270835.06</v>
      </c>
      <c r="DV34" s="6">
        <f>VLOOKUP($A34,[3]Totals!$B$2:$K$119,9,FALSE)</f>
        <v>112569</v>
      </c>
    </row>
    <row r="35" spans="1:126" x14ac:dyDescent="0.2">
      <c r="A35" s="3">
        <v>457</v>
      </c>
      <c r="B35" s="2" t="s">
        <v>94</v>
      </c>
      <c r="C35" t="s">
        <v>1</v>
      </c>
      <c r="D35">
        <v>6</v>
      </c>
      <c r="E35" s="8">
        <v>770</v>
      </c>
      <c r="F35" s="7">
        <v>0.72499999999999998</v>
      </c>
      <c r="G35">
        <v>558</v>
      </c>
      <c r="H35" s="6">
        <v>195277</v>
      </c>
      <c r="I35" s="6"/>
      <c r="J35" s="6">
        <v>445368</v>
      </c>
      <c r="K35" s="6">
        <v>67876</v>
      </c>
      <c r="L35" s="6">
        <v>17681</v>
      </c>
      <c r="M35" s="6">
        <v>78183</v>
      </c>
      <c r="N35" s="6">
        <v>60194</v>
      </c>
      <c r="O35" s="6">
        <v>404760</v>
      </c>
      <c r="P35" s="6">
        <v>112569</v>
      </c>
      <c r="Q35" s="6"/>
      <c r="R35" s="6"/>
      <c r="S35" s="6"/>
      <c r="T35" s="6"/>
      <c r="U35" s="6"/>
      <c r="V35" s="6"/>
      <c r="W35" s="6"/>
      <c r="X35" s="6"/>
      <c r="Y35" s="6"/>
      <c r="Z35" s="6"/>
      <c r="AA35" s="6">
        <v>225138</v>
      </c>
      <c r="AB35" s="6"/>
      <c r="AC35" s="6"/>
      <c r="AD35" s="6">
        <v>335849</v>
      </c>
      <c r="AE35" s="6">
        <v>225138</v>
      </c>
      <c r="AF35" s="6">
        <v>450276</v>
      </c>
      <c r="AG35" s="6">
        <v>2363949</v>
      </c>
      <c r="AH35" s="6"/>
      <c r="AI35" s="6">
        <v>337392</v>
      </c>
      <c r="AJ35" s="6"/>
      <c r="AK35" s="6">
        <v>55015</v>
      </c>
      <c r="AL35" s="6"/>
      <c r="AM35" s="6"/>
      <c r="AN35" s="6"/>
      <c r="AO35" s="6">
        <v>225138</v>
      </c>
      <c r="AP35" s="6"/>
      <c r="AQ35" s="6"/>
      <c r="AR35" s="6"/>
      <c r="AS35" s="6"/>
      <c r="AT35" s="6"/>
      <c r="AU35" s="6"/>
      <c r="AV35" s="6">
        <v>65000</v>
      </c>
      <c r="AW35" s="6">
        <v>0</v>
      </c>
      <c r="AX35" s="6"/>
      <c r="AY35" s="6"/>
      <c r="AZ35" s="6">
        <v>579320.16</v>
      </c>
      <c r="BA35" s="6"/>
      <c r="BB35" s="6"/>
      <c r="BC35" s="6"/>
      <c r="BD35" s="6">
        <v>156529</v>
      </c>
      <c r="BE35" s="6">
        <v>25716</v>
      </c>
      <c r="BF35" s="6">
        <v>19500</v>
      </c>
      <c r="BG35" s="6">
        <v>32000</v>
      </c>
      <c r="BH35" s="6">
        <v>117087</v>
      </c>
      <c r="BI35" s="6">
        <v>32187</v>
      </c>
      <c r="BJ35" s="6"/>
      <c r="BK35" s="6"/>
      <c r="BL35" s="6"/>
      <c r="BM35" s="6"/>
      <c r="BN35" s="6"/>
      <c r="BO35" s="6"/>
      <c r="BP35" s="6"/>
      <c r="BQ35" s="6"/>
      <c r="BR35" s="6"/>
      <c r="BS35" s="6"/>
      <c r="BT35" s="6"/>
      <c r="BU35" s="6">
        <v>144306</v>
      </c>
      <c r="BV35" s="6"/>
      <c r="BW35" s="6"/>
      <c r="BX35" s="6">
        <v>1566147</v>
      </c>
      <c r="BY35" s="6"/>
      <c r="BZ35" s="6"/>
      <c r="CA35" s="6"/>
      <c r="CB35" s="6"/>
      <c r="CC35" s="6"/>
      <c r="CD35" s="6"/>
      <c r="CE35" s="6"/>
      <c r="CF35" s="6">
        <v>0</v>
      </c>
      <c r="CG35" s="6">
        <f t="shared" si="0"/>
        <v>8337595.1600000001</v>
      </c>
      <c r="CI35" s="6">
        <v>112569</v>
      </c>
      <c r="CJ35" s="6">
        <v>406975</v>
      </c>
      <c r="CK35" s="6">
        <v>90879</v>
      </c>
      <c r="CL35" s="6">
        <v>96214</v>
      </c>
      <c r="CM35" s="6">
        <v>56854</v>
      </c>
      <c r="CN35" s="6">
        <v>69509</v>
      </c>
      <c r="CO35" s="6"/>
      <c r="CP35" s="6"/>
      <c r="CQ35" s="6">
        <f>4342912-DH35</f>
        <v>3611588.7300000004</v>
      </c>
      <c r="CR35" s="6"/>
      <c r="CS35" s="6"/>
      <c r="CT35" s="6"/>
      <c r="CU35" s="6"/>
      <c r="CV35" s="6">
        <v>117087</v>
      </c>
      <c r="CW35" s="6"/>
      <c r="CX35" s="6">
        <v>32912</v>
      </c>
      <c r="CY35" s="6"/>
      <c r="CZ35" s="6"/>
      <c r="DB35" s="6"/>
      <c r="DC35" s="6"/>
      <c r="DF35" s="6"/>
      <c r="DG35" s="6"/>
      <c r="DH35" s="6">
        <f>'[2]pdf DetailxSch Pos'!AE33*'[2]pdf DetailxSch Pos'!AE$122</f>
        <v>731323.26999999955</v>
      </c>
      <c r="DI35" s="6"/>
      <c r="DJ35" s="6">
        <v>112569</v>
      </c>
      <c r="DK35" s="6"/>
      <c r="DL35" s="6">
        <v>11173</v>
      </c>
      <c r="DM35" s="6"/>
      <c r="DN35" s="6">
        <v>117087</v>
      </c>
      <c r="DO35" s="6"/>
      <c r="DP35" s="6">
        <v>22425</v>
      </c>
      <c r="DU35" s="6">
        <f>VLOOKUP($A35,[3]Totals!$B$2:$K$119,10,FALSE)</f>
        <v>350511.84</v>
      </c>
      <c r="DV35" s="6">
        <f>VLOOKUP($A35,[3]Totals!$B$2:$K$119,9,FALSE)</f>
        <v>117087</v>
      </c>
    </row>
    <row r="36" spans="1:126" x14ac:dyDescent="0.2">
      <c r="A36" s="3">
        <v>232</v>
      </c>
      <c r="B36" s="2" t="s">
        <v>93</v>
      </c>
      <c r="C36" t="s">
        <v>7</v>
      </c>
      <c r="D36">
        <v>3</v>
      </c>
      <c r="E36" s="8">
        <v>444</v>
      </c>
      <c r="F36" s="7">
        <v>5.1999999999999998E-2</v>
      </c>
      <c r="G36">
        <v>23</v>
      </c>
      <c r="H36" s="6">
        <v>195277</v>
      </c>
      <c r="I36" s="6"/>
      <c r="J36" s="6"/>
      <c r="K36" s="6">
        <v>67876</v>
      </c>
      <c r="L36" s="6">
        <v>5123</v>
      </c>
      <c r="M36" s="6">
        <v>78183</v>
      </c>
      <c r="N36" s="6">
        <v>60194</v>
      </c>
      <c r="O36" s="6">
        <v>101190</v>
      </c>
      <c r="P36" s="6">
        <v>112569</v>
      </c>
      <c r="Q36" s="6"/>
      <c r="R36" s="6"/>
      <c r="S36" s="6">
        <v>225138</v>
      </c>
      <c r="T36" s="6">
        <v>74976</v>
      </c>
      <c r="U36" s="6"/>
      <c r="V36" s="6"/>
      <c r="W36" s="6"/>
      <c r="X36" s="6"/>
      <c r="Y36" s="6"/>
      <c r="Z36" s="6"/>
      <c r="AA36" s="6"/>
      <c r="AB36" s="6"/>
      <c r="AC36" s="6"/>
      <c r="AD36" s="6">
        <v>145825</v>
      </c>
      <c r="AE36" s="6">
        <v>112569</v>
      </c>
      <c r="AF36" s="6">
        <v>112569</v>
      </c>
      <c r="AG36" s="6">
        <v>450276</v>
      </c>
      <c r="AH36" s="6"/>
      <c r="AI36" s="6">
        <v>37488</v>
      </c>
      <c r="AJ36" s="6"/>
      <c r="AK36" s="6"/>
      <c r="AL36" s="6"/>
      <c r="AM36" s="6"/>
      <c r="AN36" s="6"/>
      <c r="AO36" s="6">
        <v>337707</v>
      </c>
      <c r="AP36" s="6"/>
      <c r="AQ36" s="6"/>
      <c r="AR36" s="6"/>
      <c r="AS36" s="6"/>
      <c r="AT36" s="6"/>
      <c r="AU36" s="6"/>
      <c r="AV36" s="6"/>
      <c r="AW36" s="6">
        <v>0</v>
      </c>
      <c r="AX36" s="6"/>
      <c r="AY36" s="6"/>
      <c r="AZ36" s="6">
        <v>0</v>
      </c>
      <c r="BA36" s="6"/>
      <c r="BB36" s="6">
        <v>11100</v>
      </c>
      <c r="BC36" s="6"/>
      <c r="BD36" s="6"/>
      <c r="BE36" s="6"/>
      <c r="BF36" s="6"/>
      <c r="BG36" s="6"/>
      <c r="BH36" s="6"/>
      <c r="BI36" s="6"/>
      <c r="BJ36" s="6"/>
      <c r="BK36" s="6"/>
      <c r="BL36" s="6"/>
      <c r="BM36" s="6"/>
      <c r="BN36" s="6"/>
      <c r="BO36" s="6"/>
      <c r="BP36" s="6"/>
      <c r="BQ36" s="6"/>
      <c r="BR36" s="6"/>
      <c r="BS36" s="6"/>
      <c r="BT36" s="6"/>
      <c r="BU36" s="6"/>
      <c r="BV36" s="6"/>
      <c r="BW36" s="6"/>
      <c r="BX36" s="6">
        <v>58225</v>
      </c>
      <c r="BY36" s="6"/>
      <c r="BZ36" s="6"/>
      <c r="CA36" s="6"/>
      <c r="CB36" s="6"/>
      <c r="CC36" s="6"/>
      <c r="CD36" s="6"/>
      <c r="CE36" s="6"/>
      <c r="CF36" s="6">
        <v>0</v>
      </c>
      <c r="CG36" s="6">
        <f t="shared" si="0"/>
        <v>2186285</v>
      </c>
      <c r="CI36" s="6">
        <v>112569</v>
      </c>
      <c r="CJ36" s="6">
        <v>172182</v>
      </c>
      <c r="CK36" s="6">
        <v>90879</v>
      </c>
      <c r="CL36" s="6">
        <v>55703</v>
      </c>
      <c r="CM36" s="6"/>
      <c r="CN36" s="6"/>
      <c r="CO36" s="6">
        <v>506561</v>
      </c>
      <c r="CP36" s="6">
        <v>112464</v>
      </c>
      <c r="CQ36" s="6">
        <v>2138811</v>
      </c>
      <c r="CR36" s="6"/>
      <c r="CS36" s="6"/>
      <c r="CT36" s="6"/>
      <c r="CU36" s="6"/>
      <c r="CV36" s="6"/>
      <c r="CW36" s="6"/>
      <c r="CX36" s="6">
        <v>0</v>
      </c>
      <c r="CY36" s="6"/>
      <c r="CZ36" s="6"/>
      <c r="DB36" s="6"/>
      <c r="DC36" s="6"/>
      <c r="DF36" s="6"/>
      <c r="DG36" s="6"/>
      <c r="DH36" s="6"/>
      <c r="DI36" s="6"/>
      <c r="DJ36" s="6"/>
      <c r="DK36" s="6"/>
      <c r="DL36" s="6"/>
      <c r="DM36" s="6"/>
      <c r="DN36" s="6"/>
      <c r="DO36" s="6"/>
      <c r="DP36" s="6">
        <v>3150</v>
      </c>
      <c r="DU36" s="6">
        <f>VLOOKUP($A36,[3]Totals!$B$2:$K$119,10,FALSE)</f>
        <v>59973.69</v>
      </c>
      <c r="DV36" s="6">
        <f>VLOOKUP($A36,[3]Totals!$B$2:$K$119,9,FALSE)</f>
        <v>56284.5</v>
      </c>
    </row>
    <row r="37" spans="1:126" x14ac:dyDescent="0.2">
      <c r="A37" s="3">
        <v>407</v>
      </c>
      <c r="B37" s="2" t="s">
        <v>92</v>
      </c>
      <c r="C37" t="s">
        <v>19</v>
      </c>
      <c r="D37">
        <v>6</v>
      </c>
      <c r="E37" s="8">
        <v>278</v>
      </c>
      <c r="F37" s="7">
        <v>0.59</v>
      </c>
      <c r="G37">
        <v>164</v>
      </c>
      <c r="H37" s="6">
        <v>195277</v>
      </c>
      <c r="I37" s="6">
        <v>112569</v>
      </c>
      <c r="J37" s="6"/>
      <c r="K37" s="6">
        <v>67876</v>
      </c>
      <c r="L37" s="6">
        <v>8080</v>
      </c>
      <c r="M37" s="6">
        <v>78183</v>
      </c>
      <c r="N37" s="6">
        <v>60194</v>
      </c>
      <c r="O37" s="6">
        <v>151785</v>
      </c>
      <c r="P37" s="6">
        <f>91547+15105+5917.07</f>
        <v>112569.07</v>
      </c>
      <c r="Q37" s="6"/>
      <c r="R37" s="6"/>
      <c r="S37" s="6"/>
      <c r="T37" s="6"/>
      <c r="U37" s="6"/>
      <c r="V37" s="6"/>
      <c r="W37" s="6"/>
      <c r="X37" s="6"/>
      <c r="Y37" s="6"/>
      <c r="Z37" s="6"/>
      <c r="AA37" s="6"/>
      <c r="AB37" s="6"/>
      <c r="AC37" s="6"/>
      <c r="AD37" s="6">
        <v>121019</v>
      </c>
      <c r="AE37" s="6">
        <v>112569</v>
      </c>
      <c r="AF37" s="6">
        <v>112569</v>
      </c>
      <c r="AG37" s="6">
        <v>1125690</v>
      </c>
      <c r="AH37" s="6"/>
      <c r="AI37" s="6">
        <v>224928</v>
      </c>
      <c r="AJ37" s="6"/>
      <c r="AK37" s="6"/>
      <c r="AL37" s="6"/>
      <c r="AM37" s="6"/>
      <c r="AN37" s="6"/>
      <c r="AO37" s="6"/>
      <c r="AP37" s="6">
        <v>15760</v>
      </c>
      <c r="AQ37" s="6"/>
      <c r="AR37" s="6"/>
      <c r="AS37" s="6"/>
      <c r="AT37" s="6"/>
      <c r="AU37" s="6"/>
      <c r="AV37" s="6"/>
      <c r="AW37" s="6">
        <v>0</v>
      </c>
      <c r="AX37" s="6"/>
      <c r="AY37" s="6"/>
      <c r="AZ37" s="6">
        <v>126055.54999999999</v>
      </c>
      <c r="BA37" s="6"/>
      <c r="BB37" s="6"/>
      <c r="BC37" s="6"/>
      <c r="BD37" s="6"/>
      <c r="BE37" s="6"/>
      <c r="BF37" s="6"/>
      <c r="BG37" s="6"/>
      <c r="BH37" s="6">
        <v>117087</v>
      </c>
      <c r="BI37" s="6">
        <v>23387</v>
      </c>
      <c r="BJ37" s="6"/>
      <c r="BK37" s="6"/>
      <c r="BL37" s="6"/>
      <c r="BM37" s="6"/>
      <c r="BN37" s="6"/>
      <c r="BO37" s="6"/>
      <c r="BP37" s="6"/>
      <c r="BQ37" s="6"/>
      <c r="BR37" s="6"/>
      <c r="BS37" s="6"/>
      <c r="BT37" s="6"/>
      <c r="BU37" s="6"/>
      <c r="BV37" s="6"/>
      <c r="BW37" s="6"/>
      <c r="BX37" s="6">
        <v>415169</v>
      </c>
      <c r="BY37" s="6"/>
      <c r="BZ37" s="6"/>
      <c r="CA37" s="6"/>
      <c r="CB37" s="6"/>
      <c r="CC37" s="6"/>
      <c r="CD37" s="6"/>
      <c r="CE37" s="6"/>
      <c r="CF37" s="6">
        <v>56285</v>
      </c>
      <c r="CG37" s="6">
        <f t="shared" si="0"/>
        <v>3237051.62</v>
      </c>
      <c r="CI37" s="6">
        <v>112569</v>
      </c>
      <c r="CJ37" s="6">
        <v>140876</v>
      </c>
      <c r="CK37" s="6">
        <v>45440</v>
      </c>
      <c r="CL37" s="6"/>
      <c r="CM37" s="6"/>
      <c r="CN37" s="6"/>
      <c r="CO37" s="6"/>
      <c r="CP37" s="6"/>
      <c r="CQ37" s="6">
        <v>1418369</v>
      </c>
      <c r="CR37" s="6">
        <f>337707-DK37</f>
        <v>225138</v>
      </c>
      <c r="CS37" s="6">
        <v>23000</v>
      </c>
      <c r="CT37" s="6"/>
      <c r="CU37" s="6">
        <v>100000</v>
      </c>
      <c r="CV37" s="6"/>
      <c r="CW37" s="6"/>
      <c r="CX37" s="6">
        <v>0</v>
      </c>
      <c r="CY37" s="6"/>
      <c r="CZ37" s="6"/>
      <c r="DB37" s="6"/>
      <c r="DC37" s="6"/>
      <c r="DF37" s="6"/>
      <c r="DG37" s="6"/>
      <c r="DH37" s="6"/>
      <c r="DI37" s="6">
        <v>156529</v>
      </c>
      <c r="DJ37" s="6"/>
      <c r="DK37" s="6">
        <v>112569</v>
      </c>
      <c r="DL37" s="6">
        <v>3282</v>
      </c>
      <c r="DM37" s="6"/>
      <c r="DN37" s="6"/>
      <c r="DO37" s="6"/>
      <c r="DP37" s="6">
        <v>39000</v>
      </c>
      <c r="DU37" s="6">
        <f>VLOOKUP($A37,[3]Totals!$B$2:$K$119,10,FALSE)</f>
        <v>117646.79</v>
      </c>
      <c r="DV37" s="6">
        <f>VLOOKUP($A37,[3]Totals!$B$2:$K$119,9,FALSE)</f>
        <v>112569</v>
      </c>
    </row>
    <row r="38" spans="1:126" x14ac:dyDescent="0.2">
      <c r="A38" s="3">
        <v>471</v>
      </c>
      <c r="B38" s="2" t="s">
        <v>91</v>
      </c>
      <c r="C38" t="s">
        <v>1</v>
      </c>
      <c r="D38">
        <v>3</v>
      </c>
      <c r="E38" s="1">
        <v>611</v>
      </c>
      <c r="F38" s="4">
        <v>0.314</v>
      </c>
      <c r="G38">
        <v>192</v>
      </c>
      <c r="H38" s="6">
        <v>195277</v>
      </c>
      <c r="I38" s="6"/>
      <c r="J38" s="6">
        <v>318120</v>
      </c>
      <c r="K38" s="6">
        <v>67876</v>
      </c>
      <c r="L38" s="6">
        <v>15287</v>
      </c>
      <c r="M38" s="6">
        <v>78183</v>
      </c>
      <c r="N38" s="6">
        <v>60194</v>
      </c>
      <c r="O38" s="6">
        <v>252975</v>
      </c>
      <c r="P38" s="6">
        <v>112569</v>
      </c>
      <c r="Q38" s="6"/>
      <c r="R38" s="6"/>
      <c r="S38" s="6"/>
      <c r="T38" s="6"/>
      <c r="U38" s="6"/>
      <c r="V38" s="6"/>
      <c r="W38" s="6"/>
      <c r="X38" s="6"/>
      <c r="Y38" s="6"/>
      <c r="Z38" s="6"/>
      <c r="AA38" s="6"/>
      <c r="AB38" s="6"/>
      <c r="AC38" s="6"/>
      <c r="AD38" s="6">
        <v>230839</v>
      </c>
      <c r="AE38" s="6">
        <v>112569</v>
      </c>
      <c r="AF38" s="6">
        <v>112569</v>
      </c>
      <c r="AG38" s="6">
        <v>450276</v>
      </c>
      <c r="AH38" s="6"/>
      <c r="AI38" s="6"/>
      <c r="AJ38" s="6"/>
      <c r="AK38" s="6"/>
      <c r="AL38" s="6"/>
      <c r="AM38" s="6"/>
      <c r="AN38" s="6"/>
      <c r="AO38" s="6"/>
      <c r="AP38" s="6">
        <v>46153</v>
      </c>
      <c r="AQ38" s="6"/>
      <c r="AR38" s="6"/>
      <c r="AS38" s="6"/>
      <c r="AT38" s="6"/>
      <c r="AU38" s="6"/>
      <c r="AV38" s="6"/>
      <c r="AW38" s="6">
        <v>0</v>
      </c>
      <c r="AX38" s="6"/>
      <c r="AY38" s="6"/>
      <c r="AZ38" s="6">
        <v>0</v>
      </c>
      <c r="BA38" s="6"/>
      <c r="BB38" s="6">
        <v>15275</v>
      </c>
      <c r="BC38" s="6"/>
      <c r="BD38" s="6"/>
      <c r="BE38" s="6"/>
      <c r="BF38" s="6"/>
      <c r="BG38" s="6"/>
      <c r="BH38" s="6"/>
      <c r="BI38" s="6"/>
      <c r="BJ38" s="6"/>
      <c r="BK38" s="6"/>
      <c r="BL38" s="6"/>
      <c r="BM38" s="6"/>
      <c r="BN38" s="6"/>
      <c r="BO38" s="6"/>
      <c r="BP38" s="6"/>
      <c r="BQ38" s="6"/>
      <c r="BR38" s="6"/>
      <c r="BS38" s="6">
        <v>3233529</v>
      </c>
      <c r="BT38" s="6"/>
      <c r="BU38" s="6"/>
      <c r="BV38" s="6"/>
      <c r="BW38" s="6"/>
      <c r="BX38" s="6">
        <v>538889.97</v>
      </c>
      <c r="BY38" s="6"/>
      <c r="BZ38" s="6"/>
      <c r="CA38" s="6"/>
      <c r="CB38" s="6"/>
      <c r="CC38" s="6"/>
      <c r="CD38" s="6"/>
      <c r="CE38" s="6"/>
      <c r="CF38" s="6"/>
      <c r="CG38" s="6">
        <f t="shared" si="0"/>
        <v>5840580.9699999997</v>
      </c>
      <c r="CI38" s="6">
        <v>112569</v>
      </c>
      <c r="CJ38" s="6">
        <v>313058</v>
      </c>
      <c r="CK38" s="6">
        <v>90879</v>
      </c>
      <c r="CL38" s="6">
        <v>75959</v>
      </c>
      <c r="CM38" s="6">
        <v>56854</v>
      </c>
      <c r="CN38" s="6">
        <v>69509</v>
      </c>
      <c r="CO38" s="6"/>
      <c r="CP38" s="6"/>
      <c r="CQ38" s="6">
        <f>3602208-DH38</f>
        <v>2865819.125</v>
      </c>
      <c r="CR38" s="6"/>
      <c r="CS38" s="6"/>
      <c r="CT38" s="6"/>
      <c r="CU38" s="6"/>
      <c r="CV38" s="6"/>
      <c r="CW38" s="6"/>
      <c r="CX38" s="6">
        <v>0</v>
      </c>
      <c r="CY38" s="6"/>
      <c r="CZ38" s="6"/>
      <c r="DB38" s="6"/>
      <c r="DC38" s="6"/>
      <c r="DF38" s="6"/>
      <c r="DG38" s="6"/>
      <c r="DH38" s="6">
        <f>'[2]pdf DetailxSch Pos'!AE36*'[2]pdf DetailxSch Pos'!AE$122</f>
        <v>736388.87500000012</v>
      </c>
      <c r="DI38" s="6"/>
      <c r="DJ38" s="6"/>
      <c r="DK38" s="6"/>
      <c r="DL38" s="6">
        <v>3849</v>
      </c>
      <c r="DM38" s="6"/>
      <c r="DN38" s="6">
        <v>117087</v>
      </c>
      <c r="DO38" s="6"/>
      <c r="DP38" s="6">
        <v>20580</v>
      </c>
      <c r="DU38" s="6">
        <f>VLOOKUP($A38,[3]Totals!$B$2:$K$119,10,FALSE)</f>
        <v>94334.7</v>
      </c>
      <c r="DV38" s="6">
        <f>VLOOKUP($A38,[3]Totals!$B$2:$K$119,9,FALSE)</f>
        <v>247569</v>
      </c>
    </row>
    <row r="39" spans="1:126" x14ac:dyDescent="0.2">
      <c r="A39" s="3">
        <v>318</v>
      </c>
      <c r="B39" s="2" t="s">
        <v>90</v>
      </c>
      <c r="C39" t="s">
        <v>4</v>
      </c>
      <c r="D39">
        <v>8</v>
      </c>
      <c r="E39" s="1">
        <v>456</v>
      </c>
      <c r="F39" s="4">
        <v>0.76300000000000001</v>
      </c>
      <c r="G39">
        <v>348</v>
      </c>
      <c r="H39" s="6">
        <v>195277</v>
      </c>
      <c r="I39" s="6">
        <v>112569</v>
      </c>
      <c r="J39" s="6"/>
      <c r="K39" s="6">
        <v>67876</v>
      </c>
      <c r="L39" s="6">
        <v>7099</v>
      </c>
      <c r="M39" s="6">
        <v>78183</v>
      </c>
      <c r="N39" s="6">
        <v>60194</v>
      </c>
      <c r="O39" s="6">
        <v>101190</v>
      </c>
      <c r="P39" s="6">
        <v>112569</v>
      </c>
      <c r="Q39" s="6">
        <v>337707</v>
      </c>
      <c r="R39" s="6"/>
      <c r="S39" s="6">
        <v>337707</v>
      </c>
      <c r="T39" s="6">
        <v>224928</v>
      </c>
      <c r="U39" s="6"/>
      <c r="V39" s="6"/>
      <c r="W39" s="6"/>
      <c r="X39" s="6"/>
      <c r="Y39" s="6"/>
      <c r="Z39" s="6"/>
      <c r="AA39" s="6"/>
      <c r="AB39" s="6"/>
      <c r="AC39" s="6"/>
      <c r="AD39" s="6">
        <v>170568</v>
      </c>
      <c r="AE39" s="6">
        <v>112569</v>
      </c>
      <c r="AF39" s="6">
        <v>225138</v>
      </c>
      <c r="AG39" s="6">
        <v>900552</v>
      </c>
      <c r="AH39" s="6"/>
      <c r="AI39" s="6">
        <v>149952</v>
      </c>
      <c r="AJ39" s="6"/>
      <c r="AK39" s="6"/>
      <c r="AL39" s="6"/>
      <c r="AM39" s="6"/>
      <c r="AN39" s="6"/>
      <c r="AO39" s="6"/>
      <c r="AP39" s="6">
        <v>5628</v>
      </c>
      <c r="AQ39" s="6"/>
      <c r="AR39" s="6"/>
      <c r="AS39" s="6">
        <f>54400-27200</f>
        <v>27200</v>
      </c>
      <c r="AT39" s="6">
        <f>54400-27200</f>
        <v>27200</v>
      </c>
      <c r="AU39" s="6">
        <v>10200</v>
      </c>
      <c r="AV39" s="6"/>
      <c r="AW39" s="6">
        <v>54400</v>
      </c>
      <c r="AX39" s="6"/>
      <c r="AY39" s="6"/>
      <c r="AZ39" s="6">
        <v>206766.84000000003</v>
      </c>
      <c r="BA39" s="6"/>
      <c r="BB39" s="6"/>
      <c r="BC39" s="6"/>
      <c r="BD39" s="6"/>
      <c r="BE39" s="6"/>
      <c r="BF39" s="6"/>
      <c r="BG39" s="6"/>
      <c r="BH39" s="6"/>
      <c r="BI39" s="6"/>
      <c r="BJ39" s="6"/>
      <c r="BK39" s="6"/>
      <c r="BL39" s="6"/>
      <c r="BM39" s="6"/>
      <c r="BN39" s="6"/>
      <c r="BO39" s="6"/>
      <c r="BP39" s="6"/>
      <c r="BQ39" s="6"/>
      <c r="BR39" s="6">
        <v>13859</v>
      </c>
      <c r="BS39" s="6"/>
      <c r="BT39" s="6"/>
      <c r="BU39" s="6"/>
      <c r="BV39" s="6"/>
      <c r="BW39" s="6"/>
      <c r="BX39" s="6">
        <v>880968.87</v>
      </c>
      <c r="BY39" s="6"/>
      <c r="BZ39" s="6"/>
      <c r="CA39" s="6"/>
      <c r="CB39" s="6"/>
      <c r="CC39" s="6"/>
      <c r="CD39" s="6"/>
      <c r="CE39" s="6">
        <v>112569</v>
      </c>
      <c r="CF39" s="6">
        <v>112569</v>
      </c>
      <c r="CG39" s="6">
        <f t="shared" si="0"/>
        <v>4645438.71</v>
      </c>
      <c r="CI39" s="6">
        <v>112569</v>
      </c>
      <c r="CJ39" s="6">
        <v>203488</v>
      </c>
      <c r="CK39" s="6">
        <v>90879</v>
      </c>
      <c r="CL39" s="6">
        <v>55703</v>
      </c>
      <c r="CM39" s="6"/>
      <c r="CN39" s="6"/>
      <c r="CO39" s="6">
        <v>337707</v>
      </c>
      <c r="CP39" s="6">
        <v>112464</v>
      </c>
      <c r="CQ39" s="6">
        <v>2161325</v>
      </c>
      <c r="CR39" s="6">
        <v>225138</v>
      </c>
      <c r="CS39" s="6">
        <v>23000</v>
      </c>
      <c r="CT39" s="6"/>
      <c r="CU39" s="6">
        <v>100000</v>
      </c>
      <c r="CV39" s="6"/>
      <c r="CW39" s="6"/>
      <c r="CX39" s="6">
        <v>0</v>
      </c>
      <c r="CY39" s="6"/>
      <c r="CZ39" s="6"/>
      <c r="DB39" s="6"/>
      <c r="DC39" s="6"/>
      <c r="DF39" s="6"/>
      <c r="DG39" s="6"/>
      <c r="DH39" s="6"/>
      <c r="DI39" s="6"/>
      <c r="DJ39" s="6"/>
      <c r="DK39" s="6"/>
      <c r="DL39" s="6">
        <v>13969</v>
      </c>
      <c r="DM39" s="6"/>
      <c r="DN39" s="6"/>
      <c r="DO39" s="6"/>
      <c r="DP39" s="6">
        <v>32825</v>
      </c>
      <c r="DU39" s="6">
        <f>VLOOKUP($A39,[3]Totals!$B$2:$K$119,10,FALSE)</f>
        <v>269421.68</v>
      </c>
      <c r="DV39" s="6">
        <f>VLOOKUP($A39,[3]Totals!$B$2:$K$119,9,FALSE)</f>
        <v>142587</v>
      </c>
    </row>
    <row r="40" spans="1:126" x14ac:dyDescent="0.2">
      <c r="A40" s="3">
        <v>238</v>
      </c>
      <c r="B40" s="2" t="s">
        <v>89</v>
      </c>
      <c r="C40" t="s">
        <v>7</v>
      </c>
      <c r="D40">
        <v>8</v>
      </c>
      <c r="E40" s="1">
        <v>239</v>
      </c>
      <c r="F40" s="4">
        <v>0.79500000000000004</v>
      </c>
      <c r="G40">
        <v>190</v>
      </c>
      <c r="H40" s="6">
        <v>195277</v>
      </c>
      <c r="I40" s="6"/>
      <c r="J40" s="6"/>
      <c r="K40" s="6">
        <v>67876</v>
      </c>
      <c r="L40" s="6">
        <v>4304</v>
      </c>
      <c r="M40" s="6">
        <v>78183</v>
      </c>
      <c r="N40" s="6">
        <v>60194</v>
      </c>
      <c r="O40" s="6">
        <v>50595</v>
      </c>
      <c r="P40" s="6">
        <f>91547+15105+5917.07</f>
        <v>112569.07</v>
      </c>
      <c r="Q40" s="6">
        <v>112569</v>
      </c>
      <c r="R40" s="6">
        <v>112569</v>
      </c>
      <c r="S40" s="6">
        <v>112569</v>
      </c>
      <c r="T40" s="6">
        <v>112464</v>
      </c>
      <c r="U40" s="6"/>
      <c r="V40" s="6"/>
      <c r="W40" s="6"/>
      <c r="X40" s="6"/>
      <c r="Y40" s="6"/>
      <c r="Z40" s="6"/>
      <c r="AA40" s="6"/>
      <c r="AB40" s="6"/>
      <c r="AC40" s="6"/>
      <c r="AD40" s="6">
        <v>96578</v>
      </c>
      <c r="AE40" s="6">
        <v>112569</v>
      </c>
      <c r="AF40" s="6">
        <v>112569</v>
      </c>
      <c r="AG40" s="6">
        <v>675414</v>
      </c>
      <c r="AH40" s="6"/>
      <c r="AI40" s="6">
        <v>224928</v>
      </c>
      <c r="AJ40" s="6"/>
      <c r="AK40" s="6"/>
      <c r="AL40" s="6"/>
      <c r="AM40" s="6"/>
      <c r="AN40" s="6"/>
      <c r="AO40" s="6"/>
      <c r="AP40" s="6">
        <v>5628</v>
      </c>
      <c r="AQ40" s="6"/>
      <c r="AR40" s="6"/>
      <c r="AS40" s="6">
        <f>34000-20400</f>
        <v>13600</v>
      </c>
      <c r="AT40" s="6">
        <f>34000-20400</f>
        <v>13600</v>
      </c>
      <c r="AU40" s="6">
        <v>10200</v>
      </c>
      <c r="AV40" s="6"/>
      <c r="AW40" s="6">
        <v>40800</v>
      </c>
      <c r="AX40" s="6"/>
      <c r="AY40" s="6"/>
      <c r="AZ40" s="6">
        <v>108370.12</v>
      </c>
      <c r="BA40" s="6"/>
      <c r="BB40" s="6"/>
      <c r="BC40" s="6"/>
      <c r="BD40" s="6"/>
      <c r="BE40" s="6"/>
      <c r="BF40" s="6"/>
      <c r="BG40" s="6"/>
      <c r="BH40" s="6"/>
      <c r="BI40" s="6"/>
      <c r="BJ40" s="6"/>
      <c r="BK40" s="6"/>
      <c r="BL40" s="6"/>
      <c r="BM40" s="6"/>
      <c r="BN40" s="6"/>
      <c r="BO40" s="6"/>
      <c r="BP40" s="6"/>
      <c r="BQ40" s="6"/>
      <c r="BR40" s="6">
        <v>13859</v>
      </c>
      <c r="BS40" s="6"/>
      <c r="BT40" s="6"/>
      <c r="BU40" s="6"/>
      <c r="BV40" s="6"/>
      <c r="BW40" s="6"/>
      <c r="BX40" s="6">
        <v>480988.64</v>
      </c>
      <c r="BY40" s="6"/>
      <c r="BZ40" s="6"/>
      <c r="CA40" s="6"/>
      <c r="CB40" s="6"/>
      <c r="CC40" s="6">
        <v>65219</v>
      </c>
      <c r="CD40" s="6"/>
      <c r="CE40" s="6">
        <v>112569</v>
      </c>
      <c r="CF40" s="6">
        <v>0</v>
      </c>
      <c r="CG40" s="6">
        <f t="shared" si="0"/>
        <v>3106060.8300000005</v>
      </c>
      <c r="CI40" s="6">
        <v>112569</v>
      </c>
      <c r="CJ40" s="6"/>
      <c r="CK40" s="6">
        <v>45440</v>
      </c>
      <c r="CL40" s="6"/>
      <c r="CM40" s="6"/>
      <c r="CN40" s="6"/>
      <c r="CO40" s="6">
        <v>337707</v>
      </c>
      <c r="CP40" s="6">
        <v>74976</v>
      </c>
      <c r="CQ40" s="6">
        <v>1238259</v>
      </c>
      <c r="CR40" s="6"/>
      <c r="CS40" s="6"/>
      <c r="CT40" s="6"/>
      <c r="CU40" s="6"/>
      <c r="CV40" s="6"/>
      <c r="CW40" s="6"/>
      <c r="CX40" s="6">
        <v>0</v>
      </c>
      <c r="CY40" s="6"/>
      <c r="CZ40" s="6"/>
      <c r="DB40" s="6"/>
      <c r="DC40" s="6"/>
      <c r="DF40" s="6"/>
      <c r="DG40" s="6"/>
      <c r="DH40" s="6"/>
      <c r="DI40" s="6"/>
      <c r="DJ40" s="6"/>
      <c r="DK40" s="6"/>
      <c r="DL40" s="6">
        <v>7625</v>
      </c>
      <c r="DM40" s="6"/>
      <c r="DN40" s="6"/>
      <c r="DO40" s="6"/>
      <c r="DP40" s="6">
        <v>26325</v>
      </c>
      <c r="DU40" s="6">
        <f>VLOOKUP($A40,[3]Totals!$B$2:$K$119,10,FALSE)</f>
        <v>151027.20000000001</v>
      </c>
      <c r="DV40" s="6">
        <f>VLOOKUP($A40,[3]Totals!$B$2:$K$119,9,FALSE)</f>
        <v>554794</v>
      </c>
    </row>
    <row r="41" spans="1:126" x14ac:dyDescent="0.2">
      <c r="A41" s="3">
        <v>239</v>
      </c>
      <c r="B41" s="2" t="s">
        <v>88</v>
      </c>
      <c r="C41" t="s">
        <v>7</v>
      </c>
      <c r="D41">
        <v>2</v>
      </c>
      <c r="E41" s="1">
        <v>336</v>
      </c>
      <c r="F41" s="4">
        <v>0.41699999999999998</v>
      </c>
      <c r="G41">
        <v>140</v>
      </c>
      <c r="H41" s="6">
        <v>195277</v>
      </c>
      <c r="I41" s="6"/>
      <c r="J41" s="6"/>
      <c r="K41" s="6">
        <v>67876</v>
      </c>
      <c r="L41" s="6">
        <v>5297</v>
      </c>
      <c r="M41" s="6">
        <v>78183</v>
      </c>
      <c r="N41" s="6">
        <v>60194</v>
      </c>
      <c r="O41" s="6">
        <v>101190</v>
      </c>
      <c r="P41" s="6">
        <v>112569</v>
      </c>
      <c r="Q41" s="6">
        <v>225138</v>
      </c>
      <c r="R41" s="6">
        <v>112569</v>
      </c>
      <c r="S41" s="6">
        <v>225138</v>
      </c>
      <c r="T41" s="6">
        <v>187440</v>
      </c>
      <c r="U41" s="6"/>
      <c r="V41" s="6"/>
      <c r="W41" s="6"/>
      <c r="X41" s="6"/>
      <c r="Y41" s="6"/>
      <c r="Z41" s="6"/>
      <c r="AA41" s="6"/>
      <c r="AB41" s="6"/>
      <c r="AC41" s="6"/>
      <c r="AD41" s="6">
        <v>132812</v>
      </c>
      <c r="AE41" s="6">
        <v>112569</v>
      </c>
      <c r="AF41" s="6">
        <v>112569</v>
      </c>
      <c r="AG41" s="6">
        <v>900552</v>
      </c>
      <c r="AH41" s="6"/>
      <c r="AI41" s="6">
        <v>224928</v>
      </c>
      <c r="AJ41" s="6"/>
      <c r="AK41" s="6"/>
      <c r="AL41" s="6"/>
      <c r="AM41" s="6"/>
      <c r="AN41" s="6"/>
      <c r="AO41" s="6">
        <v>450276</v>
      </c>
      <c r="AP41" s="6"/>
      <c r="AQ41" s="6"/>
      <c r="AR41" s="6"/>
      <c r="AS41" s="6">
        <f>34000-20400</f>
        <v>13600</v>
      </c>
      <c r="AT41" s="6">
        <f>34000-20400</f>
        <v>13600</v>
      </c>
      <c r="AU41" s="6">
        <v>10200</v>
      </c>
      <c r="AV41" s="6"/>
      <c r="AW41" s="6">
        <v>40800</v>
      </c>
      <c r="AX41" s="6"/>
      <c r="AY41" s="6"/>
      <c r="AZ41" s="6">
        <v>152352.79</v>
      </c>
      <c r="BA41" s="6"/>
      <c r="BB41" s="6"/>
      <c r="BC41" s="6"/>
      <c r="BD41" s="6"/>
      <c r="BE41" s="6"/>
      <c r="BF41" s="6"/>
      <c r="BG41" s="6"/>
      <c r="BH41" s="6"/>
      <c r="BI41" s="6"/>
      <c r="BJ41" s="6"/>
      <c r="BK41" s="6"/>
      <c r="BL41" s="6"/>
      <c r="BM41" s="6"/>
      <c r="BN41" s="6"/>
      <c r="BO41" s="6"/>
      <c r="BP41" s="6"/>
      <c r="BQ41" s="6"/>
      <c r="BR41" s="6"/>
      <c r="BS41" s="6"/>
      <c r="BT41" s="6"/>
      <c r="BU41" s="6"/>
      <c r="BV41" s="6"/>
      <c r="BW41" s="6"/>
      <c r="BX41" s="6">
        <v>354412.9</v>
      </c>
      <c r="BY41" s="6"/>
      <c r="BZ41" s="6"/>
      <c r="CA41" s="6"/>
      <c r="CB41" s="6"/>
      <c r="CC41" s="6"/>
      <c r="CD41" s="6"/>
      <c r="CE41" s="6"/>
      <c r="CF41" s="6">
        <v>112569</v>
      </c>
      <c r="CG41" s="6">
        <f t="shared" si="0"/>
        <v>4002111.69</v>
      </c>
      <c r="CI41" s="6">
        <v>112569</v>
      </c>
      <c r="CJ41" s="6">
        <v>125223</v>
      </c>
      <c r="CK41" s="6">
        <v>90879</v>
      </c>
      <c r="CL41" s="6"/>
      <c r="CM41" s="6"/>
      <c r="CN41" s="6"/>
      <c r="CO41" s="6">
        <v>337707</v>
      </c>
      <c r="CP41" s="6">
        <v>112464</v>
      </c>
      <c r="CQ41" s="6">
        <v>1463397</v>
      </c>
      <c r="CR41" s="6"/>
      <c r="CS41" s="6"/>
      <c r="CT41" s="6"/>
      <c r="CU41" s="6"/>
      <c r="CV41" s="6"/>
      <c r="CW41" s="6"/>
      <c r="CX41" s="6">
        <v>0</v>
      </c>
      <c r="CY41" s="6"/>
      <c r="CZ41" s="6"/>
      <c r="DB41" s="6"/>
      <c r="DC41" s="6"/>
      <c r="DF41" s="6"/>
      <c r="DG41" s="6"/>
      <c r="DH41" s="6"/>
      <c r="DI41" s="6"/>
      <c r="DJ41" s="6"/>
      <c r="DK41" s="6"/>
      <c r="DL41" s="6">
        <v>2797</v>
      </c>
      <c r="DM41" s="6"/>
      <c r="DN41" s="6"/>
      <c r="DO41" s="6"/>
      <c r="DP41" s="6">
        <v>4050</v>
      </c>
      <c r="DU41" s="6">
        <f>VLOOKUP($A41,[3]Totals!$B$2:$K$119,10,FALSE)</f>
        <v>151292.96</v>
      </c>
      <c r="DV41" s="6">
        <f>VLOOKUP($A41,[3]Totals!$B$2:$K$119,9,FALSE)</f>
        <v>50000</v>
      </c>
    </row>
    <row r="42" spans="1:126" x14ac:dyDescent="0.2">
      <c r="A42" s="3">
        <v>227</v>
      </c>
      <c r="B42" s="2" t="s">
        <v>87</v>
      </c>
      <c r="C42" t="s">
        <v>7</v>
      </c>
      <c r="D42">
        <v>1</v>
      </c>
      <c r="E42" s="1">
        <v>410</v>
      </c>
      <c r="F42" s="4">
        <v>0.51200000000000001</v>
      </c>
      <c r="G42">
        <v>210</v>
      </c>
      <c r="H42" s="6">
        <v>195277</v>
      </c>
      <c r="I42" s="6"/>
      <c r="J42" s="6"/>
      <c r="K42" s="6">
        <v>67876</v>
      </c>
      <c r="L42" s="6">
        <v>6440</v>
      </c>
      <c r="M42" s="6">
        <v>78183</v>
      </c>
      <c r="N42" s="6">
        <v>60194</v>
      </c>
      <c r="O42" s="6">
        <v>101190</v>
      </c>
      <c r="P42" s="6">
        <v>112569</v>
      </c>
      <c r="Q42" s="6">
        <v>225138</v>
      </c>
      <c r="R42" s="6"/>
      <c r="S42" s="6">
        <v>337707</v>
      </c>
      <c r="T42" s="6">
        <v>187440</v>
      </c>
      <c r="U42" s="6"/>
      <c r="V42" s="6"/>
      <c r="W42" s="6"/>
      <c r="X42" s="6"/>
      <c r="Y42" s="6"/>
      <c r="Z42" s="6"/>
      <c r="AA42" s="6"/>
      <c r="AB42" s="6"/>
      <c r="AC42" s="6"/>
      <c r="AD42" s="6">
        <v>166957</v>
      </c>
      <c r="AE42" s="6">
        <v>112569</v>
      </c>
      <c r="AF42" s="6">
        <v>225138</v>
      </c>
      <c r="AG42" s="6">
        <v>787983</v>
      </c>
      <c r="AH42" s="6"/>
      <c r="AI42" s="6">
        <v>149952</v>
      </c>
      <c r="AJ42" s="6"/>
      <c r="AK42" s="6"/>
      <c r="AL42" s="6"/>
      <c r="AM42" s="6"/>
      <c r="AN42" s="6"/>
      <c r="AO42" s="6">
        <v>1013121</v>
      </c>
      <c r="AP42" s="6"/>
      <c r="AQ42" s="6"/>
      <c r="AR42" s="6"/>
      <c r="AS42" s="6"/>
      <c r="AT42" s="6"/>
      <c r="AU42" s="6"/>
      <c r="AV42" s="6"/>
      <c r="AW42" s="6">
        <v>0</v>
      </c>
      <c r="AX42" s="6"/>
      <c r="AY42" s="6"/>
      <c r="AZ42" s="6">
        <v>185906.97</v>
      </c>
      <c r="BA42" s="6"/>
      <c r="BB42" s="6"/>
      <c r="BC42" s="6"/>
      <c r="BD42" s="6"/>
      <c r="BE42" s="6"/>
      <c r="BF42" s="6"/>
      <c r="BG42" s="6"/>
      <c r="BH42" s="6"/>
      <c r="BI42" s="6"/>
      <c r="BJ42" s="6">
        <v>117087</v>
      </c>
      <c r="BK42" s="6"/>
      <c r="BL42" s="6"/>
      <c r="BM42" s="6"/>
      <c r="BN42" s="6"/>
      <c r="BO42" s="6"/>
      <c r="BP42" s="6"/>
      <c r="BQ42" s="6"/>
      <c r="BR42" s="6"/>
      <c r="BS42" s="6"/>
      <c r="BT42" s="6"/>
      <c r="BU42" s="6"/>
      <c r="BV42" s="6"/>
      <c r="BW42" s="6"/>
      <c r="BX42" s="6">
        <v>531619.5</v>
      </c>
      <c r="BY42" s="6"/>
      <c r="BZ42" s="6"/>
      <c r="CA42" s="6"/>
      <c r="CB42" s="6"/>
      <c r="CC42" s="6"/>
      <c r="CD42" s="6"/>
      <c r="CE42" s="6"/>
      <c r="CF42" s="6">
        <v>0</v>
      </c>
      <c r="CG42" s="6">
        <f t="shared" si="0"/>
        <v>4662347.4700000007</v>
      </c>
      <c r="CI42" s="6">
        <v>112569</v>
      </c>
      <c r="CJ42" s="6">
        <v>156529</v>
      </c>
      <c r="CK42" s="6">
        <v>90879</v>
      </c>
      <c r="CL42" s="6">
        <v>50639</v>
      </c>
      <c r="CM42" s="6"/>
      <c r="CN42" s="6"/>
      <c r="CO42" s="6">
        <f>562845-DG42</f>
        <v>506561</v>
      </c>
      <c r="CP42" s="6">
        <v>112464</v>
      </c>
      <c r="CQ42" s="6">
        <v>1913673</v>
      </c>
      <c r="CR42" s="6"/>
      <c r="CS42" s="6"/>
      <c r="CT42" s="6"/>
      <c r="CU42" s="6"/>
      <c r="CV42" s="6"/>
      <c r="CW42" s="6"/>
      <c r="CX42" s="6">
        <v>0</v>
      </c>
      <c r="CY42" s="6"/>
      <c r="CZ42" s="6"/>
      <c r="DB42" s="6">
        <v>112569</v>
      </c>
      <c r="DC42" s="6"/>
      <c r="DF42" s="6"/>
      <c r="DG42" s="6">
        <v>56284</v>
      </c>
      <c r="DH42" s="6"/>
      <c r="DI42" s="6"/>
      <c r="DJ42" s="6"/>
      <c r="DK42" s="6"/>
      <c r="DL42" s="6">
        <v>4192</v>
      </c>
      <c r="DM42" s="6"/>
      <c r="DN42" s="6"/>
      <c r="DO42" s="6"/>
      <c r="DP42" s="6">
        <v>10575</v>
      </c>
      <c r="DU42" s="6">
        <f>VLOOKUP($A42,[3]Totals!$B$2:$K$119,10,FALSE)</f>
        <v>177307.99</v>
      </c>
      <c r="DV42" s="6">
        <f>VLOOKUP($A42,[3]Totals!$B$2:$K$119,9,FALSE)</f>
        <v>156529</v>
      </c>
    </row>
    <row r="43" spans="1:126" x14ac:dyDescent="0.2">
      <c r="A43" s="3">
        <v>246</v>
      </c>
      <c r="B43" s="2" t="s">
        <v>86</v>
      </c>
      <c r="C43" t="s">
        <v>19</v>
      </c>
      <c r="D43">
        <v>2</v>
      </c>
      <c r="E43" s="1">
        <v>525</v>
      </c>
      <c r="F43" s="4">
        <v>0.16</v>
      </c>
      <c r="G43">
        <v>84</v>
      </c>
      <c r="H43" s="6">
        <v>195277</v>
      </c>
      <c r="I43" s="6">
        <v>146340</v>
      </c>
      <c r="J43" s="6"/>
      <c r="K43" s="6">
        <v>67876</v>
      </c>
      <c r="L43" s="6">
        <v>7381</v>
      </c>
      <c r="M43" s="6">
        <v>78183</v>
      </c>
      <c r="N43" s="6">
        <v>60194</v>
      </c>
      <c r="O43" s="6">
        <v>151785</v>
      </c>
      <c r="P43" s="6">
        <v>112569</v>
      </c>
      <c r="Q43" s="6"/>
      <c r="R43" s="6"/>
      <c r="S43" s="6"/>
      <c r="T43" s="6"/>
      <c r="U43" s="6"/>
      <c r="V43" s="6"/>
      <c r="W43" s="6"/>
      <c r="X43" s="6"/>
      <c r="Y43" s="6"/>
      <c r="Z43" s="6"/>
      <c r="AA43" s="6"/>
      <c r="AB43" s="6"/>
      <c r="AC43" s="6"/>
      <c r="AD43" s="6">
        <v>182654</v>
      </c>
      <c r="AE43" s="6">
        <v>112569</v>
      </c>
      <c r="AF43" s="6">
        <v>112569</v>
      </c>
      <c r="AG43" s="6">
        <v>1013121</v>
      </c>
      <c r="AH43" s="6"/>
      <c r="AI43" s="6">
        <v>149952</v>
      </c>
      <c r="AJ43" s="6"/>
      <c r="AK43" s="6"/>
      <c r="AL43" s="6"/>
      <c r="AM43" s="6"/>
      <c r="AN43" s="6"/>
      <c r="AO43" s="6">
        <v>112569</v>
      </c>
      <c r="AP43" s="6"/>
      <c r="AQ43" s="6"/>
      <c r="AR43" s="6"/>
      <c r="AS43" s="6"/>
      <c r="AT43" s="6"/>
      <c r="AU43" s="6"/>
      <c r="AV43" s="6"/>
      <c r="AW43" s="6">
        <v>0</v>
      </c>
      <c r="AX43" s="6"/>
      <c r="AY43" s="6"/>
      <c r="AZ43" s="6">
        <v>0</v>
      </c>
      <c r="BA43" s="6"/>
      <c r="BB43" s="6">
        <v>13125</v>
      </c>
      <c r="BC43" s="6"/>
      <c r="BD43" s="6"/>
      <c r="BE43" s="6"/>
      <c r="BF43" s="6"/>
      <c r="BG43" s="6"/>
      <c r="BH43" s="6"/>
      <c r="BI43" s="6"/>
      <c r="BJ43" s="6"/>
      <c r="BK43" s="6"/>
      <c r="BL43" s="6"/>
      <c r="BM43" s="6"/>
      <c r="BN43" s="6"/>
      <c r="BO43" s="6"/>
      <c r="BP43" s="6"/>
      <c r="BQ43" s="6"/>
      <c r="BR43" s="6"/>
      <c r="BS43" s="6"/>
      <c r="BT43" s="6"/>
      <c r="BU43" s="6"/>
      <c r="BV43" s="6"/>
      <c r="BW43" s="6"/>
      <c r="BX43" s="6">
        <v>212648</v>
      </c>
      <c r="BY43" s="6"/>
      <c r="BZ43" s="6"/>
      <c r="CA43" s="6"/>
      <c r="CB43" s="6"/>
      <c r="CC43" s="6"/>
      <c r="CD43" s="6"/>
      <c r="CE43" s="6"/>
      <c r="CF43" s="6">
        <v>168854</v>
      </c>
      <c r="CG43" s="6">
        <f t="shared" si="0"/>
        <v>2897666</v>
      </c>
      <c r="CI43" s="6">
        <v>112569</v>
      </c>
      <c r="CJ43" s="6">
        <v>281752</v>
      </c>
      <c r="CK43" s="6">
        <v>90879</v>
      </c>
      <c r="CL43" s="6">
        <v>65831</v>
      </c>
      <c r="CM43" s="6"/>
      <c r="CN43" s="6"/>
      <c r="CO43" s="6"/>
      <c r="CP43" s="6"/>
      <c r="CQ43" s="6">
        <v>2690399</v>
      </c>
      <c r="CR43" s="6">
        <v>337707</v>
      </c>
      <c r="CS43" s="6">
        <v>23000</v>
      </c>
      <c r="CT43" s="6"/>
      <c r="CU43" s="6">
        <v>100000</v>
      </c>
      <c r="CV43" s="6"/>
      <c r="CW43" s="6">
        <v>112569</v>
      </c>
      <c r="CX43" s="6">
        <v>0</v>
      </c>
      <c r="CY43" s="6"/>
      <c r="CZ43" s="6"/>
      <c r="DB43" s="6"/>
      <c r="DC43" s="6"/>
      <c r="DF43" s="6"/>
      <c r="DG43" s="6"/>
      <c r="DH43" s="6"/>
      <c r="DI43" s="6"/>
      <c r="DJ43" s="6"/>
      <c r="DK43" s="6"/>
      <c r="DL43" s="6"/>
      <c r="DM43" s="6"/>
      <c r="DN43" s="6"/>
      <c r="DO43" s="6"/>
      <c r="DP43" s="6">
        <v>15075</v>
      </c>
      <c r="DU43" s="6">
        <f>VLOOKUP($A43,[3]Totals!$B$2:$K$119,10,FALSE)</f>
        <v>80378.039999999994</v>
      </c>
      <c r="DV43" s="6">
        <f>VLOOKUP($A43,[3]Totals!$B$2:$K$119,9,FALSE)</f>
        <v>225138</v>
      </c>
    </row>
    <row r="44" spans="1:126" x14ac:dyDescent="0.2">
      <c r="A44" s="3">
        <v>413</v>
      </c>
      <c r="B44" s="2" t="s">
        <v>85</v>
      </c>
      <c r="C44" t="s">
        <v>19</v>
      </c>
      <c r="D44">
        <v>8</v>
      </c>
      <c r="E44" s="1">
        <v>475</v>
      </c>
      <c r="F44" s="4">
        <v>0.78300000000000003</v>
      </c>
      <c r="G44">
        <v>372</v>
      </c>
      <c r="H44" s="6">
        <v>195277</v>
      </c>
      <c r="I44" s="6">
        <v>135083</v>
      </c>
      <c r="J44" s="6"/>
      <c r="K44" s="6">
        <v>67876</v>
      </c>
      <c r="L44" s="6">
        <v>6985</v>
      </c>
      <c r="M44" s="6">
        <v>78183</v>
      </c>
      <c r="N44" s="6">
        <v>60194</v>
      </c>
      <c r="O44" s="6">
        <v>252975</v>
      </c>
      <c r="P44" s="6">
        <v>112569</v>
      </c>
      <c r="Q44" s="6"/>
      <c r="R44" s="6"/>
      <c r="S44" s="6"/>
      <c r="T44" s="6"/>
      <c r="U44" s="6"/>
      <c r="V44" s="6"/>
      <c r="W44" s="6"/>
      <c r="X44" s="6"/>
      <c r="Y44" s="6"/>
      <c r="Z44" s="6"/>
      <c r="AA44" s="6"/>
      <c r="AB44" s="6"/>
      <c r="AC44" s="6"/>
      <c r="AD44" s="6">
        <v>180843</v>
      </c>
      <c r="AE44" s="6">
        <v>112569</v>
      </c>
      <c r="AF44" s="6">
        <v>450276</v>
      </c>
      <c r="AG44" s="6">
        <v>1125690</v>
      </c>
      <c r="AH44" s="6"/>
      <c r="AI44" s="6">
        <v>149952</v>
      </c>
      <c r="AJ44" s="6"/>
      <c r="AK44" s="6">
        <v>110030</v>
      </c>
      <c r="AL44" s="6"/>
      <c r="AM44" s="6"/>
      <c r="AN44" s="6"/>
      <c r="AO44" s="6"/>
      <c r="AP44" s="6">
        <v>30394</v>
      </c>
      <c r="AQ44" s="6"/>
      <c r="AR44" s="6"/>
      <c r="AS44" s="6">
        <f>27200-13600</f>
        <v>13600</v>
      </c>
      <c r="AT44" s="6">
        <f>27200-13600</f>
        <v>13600</v>
      </c>
      <c r="AU44" s="6">
        <v>10200</v>
      </c>
      <c r="AV44" s="6"/>
      <c r="AW44" s="6">
        <v>27200</v>
      </c>
      <c r="AX44" s="6"/>
      <c r="AY44" s="6"/>
      <c r="AZ44" s="6">
        <v>215379.69</v>
      </c>
      <c r="BA44" s="6"/>
      <c r="BB44" s="6"/>
      <c r="BC44" s="6"/>
      <c r="BD44" s="6"/>
      <c r="BE44" s="6"/>
      <c r="BF44" s="6"/>
      <c r="BG44" s="6"/>
      <c r="BH44" s="6"/>
      <c r="BI44" s="6"/>
      <c r="BJ44" s="6"/>
      <c r="BK44" s="6"/>
      <c r="BL44" s="6"/>
      <c r="BM44" s="6"/>
      <c r="BN44" s="6"/>
      <c r="BO44" s="6"/>
      <c r="BP44" s="6"/>
      <c r="BQ44" s="6"/>
      <c r="BR44" s="6"/>
      <c r="BS44" s="6"/>
      <c r="BT44" s="6"/>
      <c r="BU44" s="6"/>
      <c r="BV44" s="6"/>
      <c r="BW44" s="6"/>
      <c r="BX44" s="6">
        <v>941725</v>
      </c>
      <c r="BY44" s="6"/>
      <c r="BZ44" s="6"/>
      <c r="CA44" s="6"/>
      <c r="CB44" s="6"/>
      <c r="CC44" s="6"/>
      <c r="CD44" s="6"/>
      <c r="CE44" s="6"/>
      <c r="CF44" s="6">
        <v>0</v>
      </c>
      <c r="CG44" s="6">
        <f t="shared" si="0"/>
        <v>4290600.6899999995</v>
      </c>
      <c r="CI44" s="6">
        <v>112569</v>
      </c>
      <c r="CJ44" s="6">
        <v>250446</v>
      </c>
      <c r="CK44" s="6">
        <v>90879</v>
      </c>
      <c r="CL44" s="6">
        <v>60767</v>
      </c>
      <c r="CM44" s="6"/>
      <c r="CN44" s="6">
        <v>69509</v>
      </c>
      <c r="CO44" s="6"/>
      <c r="CP44" s="6"/>
      <c r="CQ44" s="6">
        <v>2431490</v>
      </c>
      <c r="CR44" s="6">
        <v>337707</v>
      </c>
      <c r="CS44" s="6">
        <v>23000</v>
      </c>
      <c r="CT44" s="6"/>
      <c r="CU44" s="6">
        <v>100000</v>
      </c>
      <c r="CV44" s="6"/>
      <c r="CW44" s="6"/>
      <c r="CX44" s="6">
        <v>0</v>
      </c>
      <c r="CY44" s="6"/>
      <c r="CZ44" s="6"/>
      <c r="DB44" s="6"/>
      <c r="DC44" s="6"/>
      <c r="DF44" s="6"/>
      <c r="DG44" s="6"/>
      <c r="DH44" s="6"/>
      <c r="DI44" s="6">
        <v>156529</v>
      </c>
      <c r="DJ44" s="6"/>
      <c r="DK44" s="6"/>
      <c r="DL44" s="6">
        <v>14935</v>
      </c>
      <c r="DM44" s="6"/>
      <c r="DN44" s="6"/>
      <c r="DO44" s="6"/>
      <c r="DP44" s="6">
        <v>64125</v>
      </c>
      <c r="DU44" s="6">
        <f>VLOOKUP($A44,[3]Totals!$B$2:$K$119,10,FALSE)</f>
        <v>210552.37</v>
      </c>
      <c r="DV44" s="6">
        <f>VLOOKUP($A44,[3]Totals!$B$2:$K$119,9,FALSE)</f>
        <v>225138</v>
      </c>
    </row>
    <row r="45" spans="1:126" x14ac:dyDescent="0.2">
      <c r="A45" s="3">
        <v>258</v>
      </c>
      <c r="B45" s="2" t="s">
        <v>84</v>
      </c>
      <c r="C45" t="s">
        <v>7</v>
      </c>
      <c r="D45">
        <v>3</v>
      </c>
      <c r="E45" s="1">
        <v>354</v>
      </c>
      <c r="F45" s="4">
        <v>6.5000000000000002E-2</v>
      </c>
      <c r="G45">
        <v>23</v>
      </c>
      <c r="H45" s="6">
        <v>195277</v>
      </c>
      <c r="I45" s="6"/>
      <c r="J45" s="6"/>
      <c r="K45" s="6">
        <v>67876</v>
      </c>
      <c r="L45" s="6">
        <v>3351</v>
      </c>
      <c r="M45" s="6">
        <v>78183</v>
      </c>
      <c r="N45" s="6">
        <v>60194</v>
      </c>
      <c r="O45" s="6">
        <v>101190</v>
      </c>
      <c r="P45" s="6">
        <v>112569</v>
      </c>
      <c r="Q45" s="6"/>
      <c r="R45" s="6"/>
      <c r="S45" s="6">
        <v>225138</v>
      </c>
      <c r="T45" s="6">
        <v>74976</v>
      </c>
      <c r="U45" s="6"/>
      <c r="V45" s="6"/>
      <c r="W45" s="6"/>
      <c r="X45" s="6"/>
      <c r="Y45" s="6"/>
      <c r="Z45" s="6"/>
      <c r="AA45" s="6"/>
      <c r="AB45" s="6"/>
      <c r="AC45" s="6"/>
      <c r="AD45" s="6">
        <v>131989</v>
      </c>
      <c r="AE45" s="6">
        <v>112569</v>
      </c>
      <c r="AF45" s="6">
        <v>112569</v>
      </c>
      <c r="AG45" s="6">
        <v>675414</v>
      </c>
      <c r="AH45" s="6"/>
      <c r="AI45" s="6">
        <v>224928</v>
      </c>
      <c r="AJ45" s="6"/>
      <c r="AK45" s="6"/>
      <c r="AL45" s="6"/>
      <c r="AM45" s="6"/>
      <c r="AN45" s="6"/>
      <c r="AO45" s="6">
        <v>450276</v>
      </c>
      <c r="AP45" s="6"/>
      <c r="AQ45" s="6"/>
      <c r="AR45" s="6"/>
      <c r="AS45" s="6"/>
      <c r="AT45" s="6"/>
      <c r="AU45" s="6"/>
      <c r="AV45" s="6"/>
      <c r="AW45" s="6">
        <v>0</v>
      </c>
      <c r="AX45" s="6"/>
      <c r="AY45" s="6"/>
      <c r="AZ45" s="6">
        <v>0</v>
      </c>
      <c r="BA45" s="6"/>
      <c r="BB45" s="6">
        <v>8850</v>
      </c>
      <c r="BC45" s="6"/>
      <c r="BD45" s="6"/>
      <c r="BE45" s="6"/>
      <c r="BF45" s="6"/>
      <c r="BG45" s="6"/>
      <c r="BH45" s="6"/>
      <c r="BI45" s="6"/>
      <c r="BJ45" s="6"/>
      <c r="BK45" s="6"/>
      <c r="BL45" s="6"/>
      <c r="BM45" s="6"/>
      <c r="BN45" s="6"/>
      <c r="BO45" s="6"/>
      <c r="BP45" s="6"/>
      <c r="BQ45" s="6"/>
      <c r="BR45" s="6"/>
      <c r="BS45" s="6"/>
      <c r="BT45" s="6"/>
      <c r="BU45" s="6"/>
      <c r="BV45" s="6"/>
      <c r="BW45" s="6"/>
      <c r="BX45" s="6">
        <v>58225</v>
      </c>
      <c r="BY45" s="6"/>
      <c r="BZ45" s="6"/>
      <c r="CA45" s="6"/>
      <c r="CB45" s="6"/>
      <c r="CC45" s="6"/>
      <c r="CD45" s="6"/>
      <c r="CE45" s="6"/>
      <c r="CF45" s="6">
        <v>0</v>
      </c>
      <c r="CG45" s="6">
        <f t="shared" si="0"/>
        <v>2693574</v>
      </c>
      <c r="CI45" s="6">
        <v>112569</v>
      </c>
      <c r="CJ45" s="6">
        <v>140876</v>
      </c>
      <c r="CK45" s="6">
        <v>90879</v>
      </c>
      <c r="CL45" s="6"/>
      <c r="CM45" s="6"/>
      <c r="CN45" s="6"/>
      <c r="CO45" s="6">
        <v>337707</v>
      </c>
      <c r="CP45" s="6">
        <v>112464</v>
      </c>
      <c r="CQ45" s="6">
        <v>1801104</v>
      </c>
      <c r="CR45" s="6"/>
      <c r="CS45" s="6"/>
      <c r="CT45" s="6"/>
      <c r="CU45" s="6"/>
      <c r="CV45" s="6"/>
      <c r="CW45" s="6"/>
      <c r="CX45" s="6">
        <v>0</v>
      </c>
      <c r="CY45" s="6"/>
      <c r="CZ45" s="6"/>
      <c r="DB45" s="6"/>
      <c r="DC45" s="6"/>
      <c r="DF45" s="6"/>
      <c r="DG45" s="6"/>
      <c r="DH45" s="6"/>
      <c r="DI45" s="6"/>
      <c r="DJ45" s="6"/>
      <c r="DK45" s="6"/>
      <c r="DL45" s="6"/>
      <c r="DM45" s="6"/>
      <c r="DN45" s="6"/>
      <c r="DO45" s="6"/>
      <c r="DP45" s="6">
        <v>3325</v>
      </c>
      <c r="DU45" s="6">
        <f>VLOOKUP($A45,[3]Totals!$B$2:$K$119,10,FALSE)</f>
        <v>35794.639999999999</v>
      </c>
      <c r="DV45" s="6">
        <f>VLOOKUP($A45,[3]Totals!$B$2:$K$119,9,FALSE)</f>
        <v>112569</v>
      </c>
    </row>
    <row r="46" spans="1:126" x14ac:dyDescent="0.2">
      <c r="A46" s="3">
        <v>249</v>
      </c>
      <c r="B46" s="2" t="s">
        <v>83</v>
      </c>
      <c r="C46" t="s">
        <v>7</v>
      </c>
      <c r="D46">
        <v>8</v>
      </c>
      <c r="E46" s="1">
        <v>310</v>
      </c>
      <c r="F46" s="4">
        <v>0.88700000000000001</v>
      </c>
      <c r="G46">
        <v>275</v>
      </c>
      <c r="H46" s="6">
        <v>195277</v>
      </c>
      <c r="I46" s="6"/>
      <c r="J46" s="6"/>
      <c r="K46" s="6">
        <v>67876</v>
      </c>
      <c r="L46" s="6">
        <v>4825</v>
      </c>
      <c r="M46" s="6">
        <v>78183</v>
      </c>
      <c r="N46" s="6">
        <v>60194</v>
      </c>
      <c r="O46" s="6">
        <v>101190</v>
      </c>
      <c r="P46" s="6">
        <v>112569</v>
      </c>
      <c r="Q46" s="6">
        <v>225138</v>
      </c>
      <c r="R46" s="6"/>
      <c r="S46" s="6">
        <v>225138</v>
      </c>
      <c r="T46" s="6">
        <v>149952</v>
      </c>
      <c r="U46" s="6"/>
      <c r="V46" s="6"/>
      <c r="W46" s="6"/>
      <c r="X46" s="6"/>
      <c r="Y46" s="6"/>
      <c r="Z46" s="6"/>
      <c r="AA46" s="6"/>
      <c r="AB46" s="6"/>
      <c r="AC46" s="6"/>
      <c r="AD46" s="6">
        <v>109889</v>
      </c>
      <c r="AE46" s="6">
        <v>112569</v>
      </c>
      <c r="AF46" s="6">
        <v>112569</v>
      </c>
      <c r="AG46" s="6">
        <v>450276</v>
      </c>
      <c r="AH46" s="6"/>
      <c r="AI46" s="6"/>
      <c r="AJ46" s="6"/>
      <c r="AK46" s="6"/>
      <c r="AL46" s="6"/>
      <c r="AM46" s="6"/>
      <c r="AN46" s="6"/>
      <c r="AO46" s="6"/>
      <c r="AP46" s="6">
        <v>5628</v>
      </c>
      <c r="AQ46" s="6"/>
      <c r="AR46" s="6"/>
      <c r="AS46" s="6">
        <f>40800-20400</f>
        <v>20400</v>
      </c>
      <c r="AT46" s="6">
        <f>40800-20400</f>
        <v>20400</v>
      </c>
      <c r="AU46" s="6">
        <v>10200</v>
      </c>
      <c r="AV46" s="6"/>
      <c r="AW46" s="6">
        <v>40800</v>
      </c>
      <c r="AX46" s="6"/>
      <c r="AY46" s="6"/>
      <c r="AZ46" s="6">
        <v>140565.87</v>
      </c>
      <c r="BA46" s="6"/>
      <c r="BB46" s="6"/>
      <c r="BC46" s="6"/>
      <c r="BD46" s="6"/>
      <c r="BE46" s="6"/>
      <c r="BF46" s="6"/>
      <c r="BG46" s="6"/>
      <c r="BH46" s="6"/>
      <c r="BI46" s="6"/>
      <c r="BJ46" s="6"/>
      <c r="BK46" s="6"/>
      <c r="BL46" s="6"/>
      <c r="BM46" s="6"/>
      <c r="BN46" s="6"/>
      <c r="BO46" s="6"/>
      <c r="BP46" s="6"/>
      <c r="BQ46" s="6"/>
      <c r="BR46" s="6">
        <v>13859</v>
      </c>
      <c r="BS46" s="6"/>
      <c r="BT46" s="6"/>
      <c r="BU46" s="6"/>
      <c r="BV46" s="6"/>
      <c r="BW46" s="6"/>
      <c r="BX46" s="6">
        <v>696168</v>
      </c>
      <c r="BY46" s="6"/>
      <c r="BZ46" s="6"/>
      <c r="CA46" s="6"/>
      <c r="CB46" s="6"/>
      <c r="CC46" s="6">
        <v>690843</v>
      </c>
      <c r="CD46" s="6"/>
      <c r="CE46" s="6">
        <v>475000</v>
      </c>
      <c r="CF46" s="6">
        <v>110891</v>
      </c>
      <c r="CG46" s="6">
        <f t="shared" si="0"/>
        <v>4230399.87</v>
      </c>
      <c r="CI46" s="6">
        <v>112569</v>
      </c>
      <c r="CJ46" s="6">
        <v>125223</v>
      </c>
      <c r="CK46" s="6">
        <v>90879</v>
      </c>
      <c r="CL46" s="6"/>
      <c r="CM46" s="6"/>
      <c r="CN46" s="6"/>
      <c r="CO46" s="6">
        <v>337707</v>
      </c>
      <c r="CP46" s="6">
        <v>74976</v>
      </c>
      <c r="CQ46" s="6">
        <v>1463397</v>
      </c>
      <c r="CR46" s="6"/>
      <c r="CS46" s="6"/>
      <c r="CT46" s="6"/>
      <c r="CU46" s="6"/>
      <c r="CV46" s="6"/>
      <c r="CW46" s="6"/>
      <c r="CX46" s="6">
        <v>0</v>
      </c>
      <c r="CY46" s="6"/>
      <c r="CZ46" s="6"/>
      <c r="DB46" s="6"/>
      <c r="DC46" s="6"/>
      <c r="DF46" s="6"/>
      <c r="DG46" s="6"/>
      <c r="DH46" s="6"/>
      <c r="DI46" s="6"/>
      <c r="DJ46" s="6"/>
      <c r="DK46" s="6"/>
      <c r="DL46" s="6">
        <v>11027</v>
      </c>
      <c r="DM46" s="6"/>
      <c r="DN46" s="6"/>
      <c r="DO46" s="6"/>
      <c r="DP46" s="6">
        <v>38625</v>
      </c>
      <c r="DU46" s="6">
        <f>VLOOKUP($A46,[3]Totals!$B$2:$K$119,10,FALSE)</f>
        <v>206943.12</v>
      </c>
      <c r="DV46" s="6">
        <f>VLOOKUP($A46,[3]Totals!$B$2:$K$119,9,FALSE)</f>
        <v>112569</v>
      </c>
    </row>
    <row r="47" spans="1:126" x14ac:dyDescent="0.2">
      <c r="A47" s="3">
        <v>251</v>
      </c>
      <c r="B47" s="2" t="s">
        <v>82</v>
      </c>
      <c r="C47" t="s">
        <v>7</v>
      </c>
      <c r="D47">
        <v>7</v>
      </c>
      <c r="E47" s="1">
        <v>282</v>
      </c>
      <c r="F47" s="4">
        <v>0.71599999999999997</v>
      </c>
      <c r="G47">
        <v>202</v>
      </c>
      <c r="H47" s="6">
        <v>195277</v>
      </c>
      <c r="I47" s="6"/>
      <c r="J47" s="6"/>
      <c r="K47" s="6">
        <v>67876</v>
      </c>
      <c r="L47" s="6">
        <v>4472</v>
      </c>
      <c r="M47" s="6">
        <v>78183</v>
      </c>
      <c r="N47" s="6">
        <v>60194</v>
      </c>
      <c r="O47" s="6">
        <v>50595</v>
      </c>
      <c r="P47" s="6">
        <f>91547+15105+5917.07</f>
        <v>112569.07</v>
      </c>
      <c r="Q47" s="6">
        <v>225138</v>
      </c>
      <c r="R47" s="6"/>
      <c r="S47" s="6">
        <v>225138</v>
      </c>
      <c r="T47" s="6">
        <v>149952</v>
      </c>
      <c r="U47" s="6"/>
      <c r="V47" s="6"/>
      <c r="W47" s="6"/>
      <c r="X47" s="6"/>
      <c r="Y47" s="6"/>
      <c r="Z47" s="6"/>
      <c r="AA47" s="6"/>
      <c r="AB47" s="6"/>
      <c r="AC47" s="6"/>
      <c r="AD47" s="6">
        <v>118083</v>
      </c>
      <c r="AE47" s="6">
        <v>112569</v>
      </c>
      <c r="AF47" s="6">
        <v>112569</v>
      </c>
      <c r="AG47" s="6">
        <v>1013121</v>
      </c>
      <c r="AH47" s="6"/>
      <c r="AI47" s="6">
        <v>449856</v>
      </c>
      <c r="AJ47" s="6"/>
      <c r="AK47" s="6"/>
      <c r="AL47" s="6">
        <v>117087</v>
      </c>
      <c r="AM47" s="6"/>
      <c r="AN47" s="6"/>
      <c r="AO47" s="6"/>
      <c r="AP47" s="6">
        <v>20262</v>
      </c>
      <c r="AQ47" s="6"/>
      <c r="AR47" s="6"/>
      <c r="AS47" s="6">
        <f>34000-20400</f>
        <v>13600</v>
      </c>
      <c r="AT47" s="6">
        <f>34000-20400</f>
        <v>13600</v>
      </c>
      <c r="AU47" s="6">
        <v>10200</v>
      </c>
      <c r="AV47" s="6"/>
      <c r="AW47" s="6">
        <v>40800</v>
      </c>
      <c r="AX47" s="6"/>
      <c r="AY47" s="6"/>
      <c r="AZ47" s="6">
        <v>127869.3</v>
      </c>
      <c r="BA47" s="6"/>
      <c r="BB47" s="6"/>
      <c r="BC47" s="6"/>
      <c r="BD47" s="6"/>
      <c r="BE47" s="6"/>
      <c r="BF47" s="6"/>
      <c r="BG47" s="6"/>
      <c r="BH47" s="6"/>
      <c r="BI47" s="6"/>
      <c r="BJ47" s="6"/>
      <c r="BK47" s="6"/>
      <c r="BL47" s="6"/>
      <c r="BM47" s="6"/>
      <c r="BN47" s="6"/>
      <c r="BO47" s="6"/>
      <c r="BP47" s="6"/>
      <c r="BQ47" s="6"/>
      <c r="BR47" s="6"/>
      <c r="BS47" s="6"/>
      <c r="BT47" s="6"/>
      <c r="BU47" s="6"/>
      <c r="BV47" s="6"/>
      <c r="BW47" s="6"/>
      <c r="BX47" s="6">
        <v>511366.73</v>
      </c>
      <c r="BY47" s="6"/>
      <c r="BZ47" s="6"/>
      <c r="CA47" s="6"/>
      <c r="CB47" s="6"/>
      <c r="CC47" s="6"/>
      <c r="CD47" s="6"/>
      <c r="CE47" s="6"/>
      <c r="CF47" s="6">
        <v>156529</v>
      </c>
      <c r="CG47" s="6">
        <f t="shared" si="0"/>
        <v>3986906.1</v>
      </c>
      <c r="CI47" s="6">
        <v>112569</v>
      </c>
      <c r="CJ47" s="6"/>
      <c r="CK47" s="6">
        <v>45440</v>
      </c>
      <c r="CL47" s="6"/>
      <c r="CM47" s="6"/>
      <c r="CN47" s="6"/>
      <c r="CO47" s="6">
        <v>337707</v>
      </c>
      <c r="CP47" s="6">
        <v>74976</v>
      </c>
      <c r="CQ47" s="6">
        <v>1350828</v>
      </c>
      <c r="CR47" s="6"/>
      <c r="CS47" s="6"/>
      <c r="CT47" s="6"/>
      <c r="CU47" s="6"/>
      <c r="CV47" s="6"/>
      <c r="CW47" s="6"/>
      <c r="CX47" s="6">
        <v>0</v>
      </c>
      <c r="CY47" s="6"/>
      <c r="CZ47" s="6"/>
      <c r="DB47" s="6"/>
      <c r="DC47" s="6"/>
      <c r="DF47" s="6"/>
      <c r="DG47" s="6"/>
      <c r="DH47" s="6"/>
      <c r="DI47" s="6"/>
      <c r="DJ47" s="6"/>
      <c r="DK47" s="6"/>
      <c r="DL47" s="6">
        <v>4044</v>
      </c>
      <c r="DM47" s="6"/>
      <c r="DN47" s="6"/>
      <c r="DO47" s="6"/>
      <c r="DP47" s="6">
        <v>17225</v>
      </c>
      <c r="DU47" s="6">
        <f>VLOOKUP($A47,[3]Totals!$B$2:$K$119,10,FALSE)</f>
        <v>215399.28</v>
      </c>
      <c r="DV47" s="6">
        <f>VLOOKUP($A47,[3]Totals!$B$2:$K$119,9,FALSE)</f>
        <v>167583.5</v>
      </c>
    </row>
    <row r="48" spans="1:126" x14ac:dyDescent="0.2">
      <c r="A48" s="3">
        <v>252</v>
      </c>
      <c r="B48" s="2" t="s">
        <v>81</v>
      </c>
      <c r="C48" t="s">
        <v>7</v>
      </c>
      <c r="D48">
        <v>2</v>
      </c>
      <c r="E48" s="1">
        <v>404</v>
      </c>
      <c r="F48" s="4">
        <v>0.111</v>
      </c>
      <c r="G48">
        <v>45</v>
      </c>
      <c r="H48" s="6">
        <v>195277</v>
      </c>
      <c r="I48" s="6"/>
      <c r="J48" s="6"/>
      <c r="K48" s="6">
        <v>67876</v>
      </c>
      <c r="L48" s="6">
        <v>3471</v>
      </c>
      <c r="M48" s="6">
        <v>78183</v>
      </c>
      <c r="N48" s="6">
        <v>60194</v>
      </c>
      <c r="O48" s="6">
        <v>101190</v>
      </c>
      <c r="P48" s="6">
        <v>112569</v>
      </c>
      <c r="Q48" s="6">
        <v>112569</v>
      </c>
      <c r="R48" s="6"/>
      <c r="S48" s="6">
        <v>225138</v>
      </c>
      <c r="T48" s="6">
        <v>112464</v>
      </c>
      <c r="U48" s="6"/>
      <c r="V48" s="6"/>
      <c r="W48" s="6"/>
      <c r="X48" s="6"/>
      <c r="Y48" s="6"/>
      <c r="Z48" s="6"/>
      <c r="AA48" s="6"/>
      <c r="AB48" s="6"/>
      <c r="AC48" s="6"/>
      <c r="AD48" s="6">
        <v>134394</v>
      </c>
      <c r="AE48" s="6">
        <v>112569</v>
      </c>
      <c r="AF48" s="6">
        <v>112569</v>
      </c>
      <c r="AG48" s="6">
        <v>337707</v>
      </c>
      <c r="AH48" s="6"/>
      <c r="AI48" s="6"/>
      <c r="AJ48" s="6"/>
      <c r="AK48" s="6"/>
      <c r="AL48" s="6"/>
      <c r="AM48" s="6"/>
      <c r="AN48" s="6"/>
      <c r="AO48" s="6">
        <v>225138</v>
      </c>
      <c r="AP48" s="6"/>
      <c r="AQ48" s="6"/>
      <c r="AR48" s="6"/>
      <c r="AS48" s="6"/>
      <c r="AT48" s="6"/>
      <c r="AU48" s="6"/>
      <c r="AV48" s="6"/>
      <c r="AW48" s="6">
        <v>0</v>
      </c>
      <c r="AX48" s="6"/>
      <c r="AY48" s="6"/>
      <c r="AZ48" s="6">
        <v>0</v>
      </c>
      <c r="BA48" s="6"/>
      <c r="BB48" s="6">
        <v>10100</v>
      </c>
      <c r="BC48" s="6"/>
      <c r="BD48" s="6"/>
      <c r="BE48" s="6"/>
      <c r="BF48" s="6"/>
      <c r="BG48" s="6"/>
      <c r="BH48" s="6"/>
      <c r="BI48" s="6"/>
      <c r="BJ48" s="6"/>
      <c r="BK48" s="6"/>
      <c r="BL48" s="6"/>
      <c r="BM48" s="6"/>
      <c r="BN48" s="6"/>
      <c r="BO48" s="6"/>
      <c r="BP48" s="6"/>
      <c r="BQ48" s="6"/>
      <c r="BR48" s="6"/>
      <c r="BS48" s="6"/>
      <c r="BT48" s="6"/>
      <c r="BU48" s="6"/>
      <c r="BV48" s="6"/>
      <c r="BW48" s="6"/>
      <c r="BX48" s="6">
        <v>113918</v>
      </c>
      <c r="BY48" s="6"/>
      <c r="BZ48" s="6"/>
      <c r="CA48" s="6"/>
      <c r="CB48" s="6"/>
      <c r="CC48" s="6"/>
      <c r="CD48" s="6"/>
      <c r="CE48" s="6"/>
      <c r="CF48" s="6">
        <v>0</v>
      </c>
      <c r="CG48" s="6">
        <f t="shared" si="0"/>
        <v>2115326</v>
      </c>
      <c r="CI48" s="6">
        <v>112569</v>
      </c>
      <c r="CJ48" s="6">
        <v>156529</v>
      </c>
      <c r="CK48" s="6">
        <v>90879</v>
      </c>
      <c r="CL48" s="6">
        <v>50639</v>
      </c>
      <c r="CM48" s="6"/>
      <c r="CN48" s="6"/>
      <c r="CO48" s="6">
        <v>506561</v>
      </c>
      <c r="CP48" s="6">
        <v>112464</v>
      </c>
      <c r="CQ48" s="6">
        <v>1913673</v>
      </c>
      <c r="CR48" s="6"/>
      <c r="CS48" s="6"/>
      <c r="CT48" s="6"/>
      <c r="CU48" s="6"/>
      <c r="CV48" s="6"/>
      <c r="CW48" s="6"/>
      <c r="CX48" s="6">
        <v>0</v>
      </c>
      <c r="CY48" s="6"/>
      <c r="CZ48" s="6"/>
      <c r="DB48" s="6"/>
      <c r="DC48" s="6"/>
      <c r="DF48" s="6"/>
      <c r="DG48" s="6"/>
      <c r="DH48" s="6"/>
      <c r="DI48" s="6"/>
      <c r="DJ48" s="6"/>
      <c r="DK48" s="6"/>
      <c r="DL48" s="6"/>
      <c r="DM48" s="6"/>
      <c r="DN48" s="6"/>
      <c r="DO48" s="6"/>
      <c r="DP48" s="6">
        <v>4375</v>
      </c>
      <c r="DU48" s="6">
        <f>VLOOKUP($A48,[3]Totals!$B$2:$K$119,10,FALSE)</f>
        <v>62800.22</v>
      </c>
      <c r="DV48" s="6">
        <f>VLOOKUP($A48,[3]Totals!$B$2:$K$119,9,FALSE)</f>
        <v>37488</v>
      </c>
    </row>
    <row r="49" spans="1:126" x14ac:dyDescent="0.2">
      <c r="A49" s="3">
        <v>1071</v>
      </c>
      <c r="B49" s="2" t="s">
        <v>80</v>
      </c>
      <c r="C49" t="s">
        <v>19</v>
      </c>
      <c r="D49">
        <v>4</v>
      </c>
      <c r="E49" s="1">
        <v>551</v>
      </c>
      <c r="F49" s="4">
        <v>0.58299999999999996</v>
      </c>
      <c r="G49">
        <v>321</v>
      </c>
      <c r="H49" s="6">
        <v>195277</v>
      </c>
      <c r="I49" s="6">
        <v>157597</v>
      </c>
      <c r="J49" s="6"/>
      <c r="K49" s="6">
        <v>67876</v>
      </c>
      <c r="L49" s="6">
        <v>6463</v>
      </c>
      <c r="M49" s="6">
        <v>78183</v>
      </c>
      <c r="N49" s="6">
        <v>60194</v>
      </c>
      <c r="O49" s="6">
        <v>151785</v>
      </c>
      <c r="P49" s="6">
        <v>112569</v>
      </c>
      <c r="Q49" s="6"/>
      <c r="R49" s="6"/>
      <c r="S49" s="6"/>
      <c r="T49" s="6"/>
      <c r="U49" s="6"/>
      <c r="V49" s="6"/>
      <c r="W49" s="6"/>
      <c r="X49" s="6"/>
      <c r="Y49" s="6"/>
      <c r="Z49" s="6"/>
      <c r="AA49" s="6"/>
      <c r="AB49" s="6"/>
      <c r="AC49" s="6"/>
      <c r="AD49" s="6">
        <v>209809</v>
      </c>
      <c r="AE49" s="6">
        <v>112569</v>
      </c>
      <c r="AF49" s="6">
        <v>225138</v>
      </c>
      <c r="AG49" s="6">
        <v>1125690</v>
      </c>
      <c r="AH49" s="6"/>
      <c r="AI49" s="6">
        <v>187440</v>
      </c>
      <c r="AJ49" s="6"/>
      <c r="AK49" s="6"/>
      <c r="AL49" s="6"/>
      <c r="AM49" s="6"/>
      <c r="AN49" s="6"/>
      <c r="AO49" s="6">
        <v>900552</v>
      </c>
      <c r="AP49" s="6"/>
      <c r="AQ49" s="6"/>
      <c r="AR49" s="6"/>
      <c r="AS49" s="6"/>
      <c r="AT49" s="6"/>
      <c r="AU49" s="6"/>
      <c r="AV49" s="6"/>
      <c r="AW49" s="6">
        <v>0</v>
      </c>
      <c r="AX49" s="6"/>
      <c r="AY49" s="6"/>
      <c r="AZ49" s="6">
        <v>182434.42</v>
      </c>
      <c r="BA49" s="6"/>
      <c r="BB49" s="6"/>
      <c r="BC49" s="6"/>
      <c r="BD49" s="6"/>
      <c r="BE49" s="6"/>
      <c r="BF49" s="6"/>
      <c r="BG49" s="6"/>
      <c r="BH49" s="6"/>
      <c r="BI49" s="6"/>
      <c r="BJ49" s="6"/>
      <c r="BK49" s="6"/>
      <c r="BL49" s="6"/>
      <c r="BM49" s="6"/>
      <c r="BN49" s="6"/>
      <c r="BO49" s="6"/>
      <c r="BP49" s="6"/>
      <c r="BQ49" s="6"/>
      <c r="BR49" s="6"/>
      <c r="BS49" s="6"/>
      <c r="BT49" s="6"/>
      <c r="BU49" s="6"/>
      <c r="BV49" s="6"/>
      <c r="BW49" s="6"/>
      <c r="BX49" s="6">
        <v>812617</v>
      </c>
      <c r="BY49" s="6"/>
      <c r="BZ49" s="6"/>
      <c r="CA49" s="6"/>
      <c r="CB49" s="6"/>
      <c r="CC49" s="6"/>
      <c r="CD49" s="6"/>
      <c r="CE49" s="6"/>
      <c r="CF49" s="6">
        <v>137569</v>
      </c>
      <c r="CG49" s="6">
        <f t="shared" si="0"/>
        <v>4723762.42</v>
      </c>
      <c r="CI49" s="6">
        <v>112569</v>
      </c>
      <c r="CJ49" s="6">
        <v>281752</v>
      </c>
      <c r="CK49" s="6">
        <v>90879</v>
      </c>
      <c r="CL49" s="6">
        <v>70895</v>
      </c>
      <c r="CM49" s="6"/>
      <c r="CN49" s="6"/>
      <c r="CO49" s="6"/>
      <c r="CP49" s="6"/>
      <c r="CQ49" s="6">
        <v>2825482</v>
      </c>
      <c r="CR49" s="6">
        <v>337707</v>
      </c>
      <c r="CS49" s="6">
        <v>23000</v>
      </c>
      <c r="CT49" s="6">
        <v>5000</v>
      </c>
      <c r="CU49" s="6">
        <v>100000</v>
      </c>
      <c r="CV49" s="6"/>
      <c r="CW49" s="6">
        <v>112569</v>
      </c>
      <c r="CX49" s="6">
        <v>0</v>
      </c>
      <c r="CY49" s="6"/>
      <c r="CZ49" s="6"/>
      <c r="DB49" s="6">
        <v>225138</v>
      </c>
      <c r="DC49" s="6"/>
      <c r="DF49" s="6"/>
      <c r="DG49" s="6"/>
      <c r="DH49" s="6"/>
      <c r="DI49" s="6"/>
      <c r="DJ49" s="6"/>
      <c r="DK49" s="6"/>
      <c r="DL49" s="6">
        <v>6428</v>
      </c>
      <c r="DM49" s="6"/>
      <c r="DN49" s="6"/>
      <c r="DO49" s="6"/>
      <c r="DP49" s="6">
        <v>22430</v>
      </c>
      <c r="DU49" s="6">
        <f>VLOOKUP($A49,[3]Totals!$B$2:$K$119,10,FALSE)</f>
        <v>230674.73</v>
      </c>
      <c r="DV49" s="6">
        <f>VLOOKUP($A49,[3]Totals!$B$2:$K$119,9,FALSE)</f>
        <v>228699</v>
      </c>
    </row>
    <row r="50" spans="1:126" x14ac:dyDescent="0.2">
      <c r="A50" s="3">
        <v>339</v>
      </c>
      <c r="B50" s="2" t="s">
        <v>79</v>
      </c>
      <c r="C50" t="s">
        <v>7</v>
      </c>
      <c r="D50">
        <v>6</v>
      </c>
      <c r="E50" s="1">
        <v>439</v>
      </c>
      <c r="F50" s="4">
        <v>0.52200000000000002</v>
      </c>
      <c r="G50">
        <v>229</v>
      </c>
      <c r="H50" s="6">
        <v>195277</v>
      </c>
      <c r="I50" s="6"/>
      <c r="J50" s="6"/>
      <c r="K50" s="6">
        <v>67876</v>
      </c>
      <c r="L50" s="6">
        <v>6688</v>
      </c>
      <c r="M50" s="6">
        <v>78183</v>
      </c>
      <c r="N50" s="6">
        <v>60194</v>
      </c>
      <c r="O50" s="6">
        <v>101190</v>
      </c>
      <c r="P50" s="6">
        <v>112569</v>
      </c>
      <c r="Q50" s="6">
        <v>337707</v>
      </c>
      <c r="R50" s="6">
        <v>112569</v>
      </c>
      <c r="S50" s="6">
        <v>337707</v>
      </c>
      <c r="T50" s="6">
        <v>262416</v>
      </c>
      <c r="U50" s="6"/>
      <c r="V50" s="6"/>
      <c r="W50" s="6"/>
      <c r="X50" s="6"/>
      <c r="Y50" s="6"/>
      <c r="Z50" s="6"/>
      <c r="AA50" s="6"/>
      <c r="AB50" s="6"/>
      <c r="AC50" s="6"/>
      <c r="AD50" s="6">
        <v>166860</v>
      </c>
      <c r="AE50" s="6">
        <v>112569</v>
      </c>
      <c r="AF50" s="6">
        <v>225138</v>
      </c>
      <c r="AG50" s="6">
        <v>1125690</v>
      </c>
      <c r="AH50" s="6"/>
      <c r="AI50" s="6">
        <v>187440</v>
      </c>
      <c r="AJ50" s="6"/>
      <c r="AK50" s="6"/>
      <c r="AL50" s="6"/>
      <c r="AM50" s="6"/>
      <c r="AN50" s="6"/>
      <c r="AO50" s="6">
        <v>112569</v>
      </c>
      <c r="AP50" s="6"/>
      <c r="AQ50" s="6"/>
      <c r="AR50" s="6"/>
      <c r="AS50" s="6">
        <f>34000-20400</f>
        <v>13600</v>
      </c>
      <c r="AT50" s="6">
        <f>34000-30600</f>
        <v>3400</v>
      </c>
      <c r="AU50" s="6">
        <v>10200</v>
      </c>
      <c r="AV50" s="6"/>
      <c r="AW50" s="6">
        <v>51000</v>
      </c>
      <c r="AX50" s="6"/>
      <c r="AY50" s="6"/>
      <c r="AZ50" s="6">
        <v>199058.65</v>
      </c>
      <c r="BA50" s="6"/>
      <c r="BB50" s="6"/>
      <c r="BC50" s="6"/>
      <c r="BD50" s="6"/>
      <c r="BE50" s="6"/>
      <c r="BF50" s="6"/>
      <c r="BG50" s="6"/>
      <c r="BH50" s="6"/>
      <c r="BI50" s="6"/>
      <c r="BJ50" s="6"/>
      <c r="BK50" s="6"/>
      <c r="BL50" s="6"/>
      <c r="BM50" s="6"/>
      <c r="BN50" s="6"/>
      <c r="BO50" s="6"/>
      <c r="BP50" s="6"/>
      <c r="BQ50" s="6"/>
      <c r="BR50" s="6"/>
      <c r="BS50" s="6"/>
      <c r="BT50" s="6"/>
      <c r="BU50" s="6"/>
      <c r="BV50" s="6"/>
      <c r="BW50" s="6"/>
      <c r="BX50" s="6">
        <v>579717.68999999994</v>
      </c>
      <c r="BY50" s="6"/>
      <c r="BZ50" s="6"/>
      <c r="CA50" s="6"/>
      <c r="CB50" s="6"/>
      <c r="CC50" s="6"/>
      <c r="CD50" s="6"/>
      <c r="CE50" s="6"/>
      <c r="CF50" s="6">
        <v>112569</v>
      </c>
      <c r="CG50" s="6">
        <f t="shared" si="0"/>
        <v>4572187.34</v>
      </c>
      <c r="CI50" s="6">
        <v>112569</v>
      </c>
      <c r="CJ50" s="6">
        <v>172182</v>
      </c>
      <c r="CK50" s="6">
        <v>90879</v>
      </c>
      <c r="CL50" s="6">
        <v>55703</v>
      </c>
      <c r="CM50" s="6"/>
      <c r="CN50" s="6"/>
      <c r="CO50" s="6">
        <v>506561</v>
      </c>
      <c r="CP50" s="6">
        <v>112464</v>
      </c>
      <c r="CQ50" s="6">
        <v>2026242</v>
      </c>
      <c r="CR50" s="6"/>
      <c r="CS50" s="6"/>
      <c r="CT50" s="6"/>
      <c r="CU50" s="6"/>
      <c r="CV50" s="6"/>
      <c r="CW50" s="6"/>
      <c r="CX50" s="6">
        <v>0</v>
      </c>
      <c r="CY50" s="6"/>
      <c r="CZ50" s="6"/>
      <c r="DB50" s="6"/>
      <c r="DC50" s="6"/>
      <c r="DF50" s="6"/>
      <c r="DG50" s="6"/>
      <c r="DH50" s="6"/>
      <c r="DI50" s="6"/>
      <c r="DJ50" s="6">
        <v>112569</v>
      </c>
      <c r="DK50" s="6"/>
      <c r="DL50" s="6">
        <v>4586</v>
      </c>
      <c r="DM50" s="6"/>
      <c r="DN50" s="6"/>
      <c r="DO50" s="6"/>
      <c r="DP50" s="6">
        <v>21725</v>
      </c>
      <c r="DU50" s="6">
        <f>VLOOKUP($A50,[3]Totals!$B$2:$K$119,10,FALSE)</f>
        <v>168767.02</v>
      </c>
      <c r="DV50" s="6">
        <f>VLOOKUP($A50,[3]Totals!$B$2:$K$119,9,FALSE)</f>
        <v>70306</v>
      </c>
    </row>
    <row r="51" spans="1:126" x14ac:dyDescent="0.2">
      <c r="A51" s="3">
        <v>254</v>
      </c>
      <c r="B51" s="2" t="s">
        <v>78</v>
      </c>
      <c r="C51" t="s">
        <v>7</v>
      </c>
      <c r="D51">
        <v>3</v>
      </c>
      <c r="E51" s="1">
        <v>718</v>
      </c>
      <c r="F51" s="4">
        <v>2.5999999999999999E-2</v>
      </c>
      <c r="G51">
        <v>19</v>
      </c>
      <c r="H51" s="6">
        <v>195277</v>
      </c>
      <c r="I51" s="6"/>
      <c r="J51" s="6"/>
      <c r="K51" s="6">
        <v>67876</v>
      </c>
      <c r="L51" s="6">
        <v>6653</v>
      </c>
      <c r="M51" s="6">
        <v>78183</v>
      </c>
      <c r="N51" s="6">
        <v>60194</v>
      </c>
      <c r="O51" s="6">
        <v>151785</v>
      </c>
      <c r="P51" s="6">
        <v>112569</v>
      </c>
      <c r="Q51" s="6"/>
      <c r="R51" s="6"/>
      <c r="S51" s="6">
        <v>337707</v>
      </c>
      <c r="T51" s="6">
        <v>112464</v>
      </c>
      <c r="U51" s="6"/>
      <c r="V51" s="6"/>
      <c r="W51" s="6"/>
      <c r="X51" s="6"/>
      <c r="Y51" s="6"/>
      <c r="Z51" s="6"/>
      <c r="AA51" s="6"/>
      <c r="AB51" s="6"/>
      <c r="AC51" s="6"/>
      <c r="AD51" s="6">
        <v>216139</v>
      </c>
      <c r="AE51" s="6">
        <v>112569</v>
      </c>
      <c r="AF51" s="6">
        <v>112569</v>
      </c>
      <c r="AG51" s="6">
        <v>675414</v>
      </c>
      <c r="AH51" s="6"/>
      <c r="AI51" s="6"/>
      <c r="AJ51" s="6"/>
      <c r="AK51" s="6"/>
      <c r="AL51" s="6"/>
      <c r="AM51" s="6"/>
      <c r="AN51" s="6"/>
      <c r="AO51" s="6">
        <v>112569</v>
      </c>
      <c r="AP51" s="6"/>
      <c r="AQ51" s="6"/>
      <c r="AR51" s="6"/>
      <c r="AS51" s="6"/>
      <c r="AT51" s="6"/>
      <c r="AU51" s="6"/>
      <c r="AV51" s="6"/>
      <c r="AW51" s="6">
        <v>0</v>
      </c>
      <c r="AX51" s="6"/>
      <c r="AY51" s="6"/>
      <c r="AZ51" s="6">
        <v>0</v>
      </c>
      <c r="BA51" s="6"/>
      <c r="BB51" s="6">
        <v>17950</v>
      </c>
      <c r="BC51" s="6"/>
      <c r="BD51" s="6"/>
      <c r="BE51" s="6"/>
      <c r="BF51" s="6"/>
      <c r="BG51" s="6"/>
      <c r="BH51" s="6"/>
      <c r="BI51" s="6"/>
      <c r="BJ51" s="6"/>
      <c r="BK51" s="6"/>
      <c r="BL51" s="6"/>
      <c r="BM51" s="6"/>
      <c r="BN51" s="6"/>
      <c r="BO51" s="6"/>
      <c r="BP51" s="6"/>
      <c r="BQ51" s="6"/>
      <c r="BR51" s="6"/>
      <c r="BS51" s="6"/>
      <c r="BT51" s="6"/>
      <c r="BU51" s="6"/>
      <c r="BV51" s="6"/>
      <c r="BW51" s="6"/>
      <c r="BX51" s="6">
        <v>48099</v>
      </c>
      <c r="BY51" s="6"/>
      <c r="BZ51" s="6"/>
      <c r="CA51" s="6"/>
      <c r="CB51" s="6"/>
      <c r="CC51" s="6">
        <v>15695</v>
      </c>
      <c r="CD51" s="6">
        <v>18249</v>
      </c>
      <c r="CE51" s="6">
        <v>225138</v>
      </c>
      <c r="CF51" s="6">
        <v>225138</v>
      </c>
      <c r="CG51" s="6">
        <f t="shared" si="0"/>
        <v>2902237</v>
      </c>
      <c r="CI51" s="6">
        <v>112569</v>
      </c>
      <c r="CJ51" s="6">
        <v>281752</v>
      </c>
      <c r="CK51" s="6">
        <v>90879</v>
      </c>
      <c r="CL51" s="6">
        <v>91150</v>
      </c>
      <c r="CM51" s="6"/>
      <c r="CN51" s="6"/>
      <c r="CO51" s="6">
        <f>731699-DG51</f>
        <v>619130</v>
      </c>
      <c r="CP51" s="6">
        <v>187440</v>
      </c>
      <c r="CQ51" s="6">
        <v>3489639</v>
      </c>
      <c r="CR51" s="6"/>
      <c r="CS51" s="6"/>
      <c r="CT51" s="6"/>
      <c r="CU51" s="6"/>
      <c r="CV51" s="6"/>
      <c r="CW51" s="6"/>
      <c r="CX51" s="6">
        <v>0</v>
      </c>
      <c r="CY51" s="6"/>
      <c r="CZ51" s="6"/>
      <c r="DB51" s="6"/>
      <c r="DC51" s="6"/>
      <c r="DF51" s="6"/>
      <c r="DG51" s="6">
        <v>112569</v>
      </c>
      <c r="DH51" s="6"/>
      <c r="DI51" s="6"/>
      <c r="DJ51" s="6"/>
      <c r="DK51" s="6"/>
      <c r="DL51" s="6"/>
      <c r="DM51" s="6"/>
      <c r="DN51" s="6"/>
      <c r="DO51" s="6"/>
      <c r="DP51" s="6">
        <v>1400</v>
      </c>
      <c r="DU51" s="6">
        <f>VLOOKUP($A51,[3]Totals!$B$2:$K$119,10,FALSE)</f>
        <v>53537.33</v>
      </c>
      <c r="DV51" s="6">
        <f>VLOOKUP($A51,[3]Totals!$B$2:$K$119,9,FALSE)</f>
        <v>0</v>
      </c>
    </row>
    <row r="52" spans="1:126" x14ac:dyDescent="0.2">
      <c r="A52" s="3">
        <v>433</v>
      </c>
      <c r="B52" s="2" t="s">
        <v>77</v>
      </c>
      <c r="C52" t="s">
        <v>19</v>
      </c>
      <c r="D52">
        <v>6</v>
      </c>
      <c r="E52" s="1">
        <v>389</v>
      </c>
      <c r="F52" s="4">
        <v>0.57599999999999996</v>
      </c>
      <c r="G52">
        <v>224</v>
      </c>
      <c r="H52" s="6">
        <v>195277</v>
      </c>
      <c r="I52" s="6">
        <v>112569</v>
      </c>
      <c r="J52" s="6"/>
      <c r="K52" s="6">
        <v>67876</v>
      </c>
      <c r="L52" s="6">
        <v>6382</v>
      </c>
      <c r="M52" s="6">
        <v>78183</v>
      </c>
      <c r="N52" s="6">
        <v>60194</v>
      </c>
      <c r="O52" s="6">
        <v>151785</v>
      </c>
      <c r="P52" s="6">
        <v>112569</v>
      </c>
      <c r="Q52" s="6"/>
      <c r="R52" s="6"/>
      <c r="S52" s="6"/>
      <c r="T52" s="6"/>
      <c r="U52" s="6"/>
      <c r="V52" s="6"/>
      <c r="W52" s="6"/>
      <c r="X52" s="6"/>
      <c r="Y52" s="6"/>
      <c r="Z52" s="6"/>
      <c r="AA52" s="6"/>
      <c r="AB52" s="6"/>
      <c r="AC52" s="6"/>
      <c r="AD52" s="6">
        <v>149831</v>
      </c>
      <c r="AE52" s="6">
        <v>112569</v>
      </c>
      <c r="AF52" s="6">
        <v>337707</v>
      </c>
      <c r="AG52" s="6">
        <v>1013121</v>
      </c>
      <c r="AH52" s="6"/>
      <c r="AI52" s="6">
        <v>112464</v>
      </c>
      <c r="AJ52" s="6"/>
      <c r="AK52" s="6">
        <v>55015</v>
      </c>
      <c r="AL52" s="6"/>
      <c r="AM52" s="6"/>
      <c r="AN52" s="6"/>
      <c r="AO52" s="6"/>
      <c r="AP52" s="6">
        <v>20262</v>
      </c>
      <c r="AQ52" s="6"/>
      <c r="AR52" s="6"/>
      <c r="AS52" s="6">
        <f>13600-6800</f>
        <v>6800</v>
      </c>
      <c r="AT52" s="6">
        <f>13600-6800</f>
        <v>6800</v>
      </c>
      <c r="AU52" s="6">
        <v>10200</v>
      </c>
      <c r="AV52" s="6"/>
      <c r="AW52" s="6">
        <v>13600</v>
      </c>
      <c r="AX52" s="6"/>
      <c r="AY52" s="6"/>
      <c r="AZ52" s="6">
        <v>176385.72</v>
      </c>
      <c r="BA52" s="6"/>
      <c r="BB52" s="6"/>
      <c r="BC52" s="6"/>
      <c r="BD52" s="6"/>
      <c r="BE52" s="6"/>
      <c r="BF52" s="6"/>
      <c r="BG52" s="6"/>
      <c r="BH52" s="6"/>
      <c r="BI52" s="6"/>
      <c r="BJ52" s="6"/>
      <c r="BK52" s="6"/>
      <c r="BL52" s="6"/>
      <c r="BM52" s="6"/>
      <c r="BN52" s="6"/>
      <c r="BO52" s="6"/>
      <c r="BP52" s="6"/>
      <c r="BQ52" s="6"/>
      <c r="BR52" s="6"/>
      <c r="BS52" s="6"/>
      <c r="BT52" s="6"/>
      <c r="BU52" s="6"/>
      <c r="BV52" s="6"/>
      <c r="BW52" s="6"/>
      <c r="BX52" s="6">
        <v>567060</v>
      </c>
      <c r="BY52" s="6"/>
      <c r="BZ52" s="6"/>
      <c r="CA52" s="6"/>
      <c r="CB52" s="6"/>
      <c r="CC52" s="6"/>
      <c r="CD52" s="6"/>
      <c r="CE52" s="6"/>
      <c r="CF52" s="6">
        <v>0</v>
      </c>
      <c r="CG52" s="6">
        <f t="shared" si="0"/>
        <v>3366649.72</v>
      </c>
      <c r="CI52" s="6">
        <v>112569</v>
      </c>
      <c r="CJ52" s="6">
        <v>203488</v>
      </c>
      <c r="CK52" s="6">
        <v>90879</v>
      </c>
      <c r="CL52" s="6"/>
      <c r="CM52" s="6"/>
      <c r="CN52" s="6"/>
      <c r="CO52" s="6"/>
      <c r="CP52" s="6"/>
      <c r="CQ52" s="6">
        <v>1992471</v>
      </c>
      <c r="CR52" s="6">
        <v>337707</v>
      </c>
      <c r="CS52" s="6">
        <v>23000</v>
      </c>
      <c r="CT52" s="6"/>
      <c r="CU52" s="6">
        <v>100000</v>
      </c>
      <c r="CV52" s="6"/>
      <c r="CW52" s="6"/>
      <c r="CX52" s="6">
        <v>0</v>
      </c>
      <c r="CY52" s="6"/>
      <c r="CZ52" s="6"/>
      <c r="DB52" s="6"/>
      <c r="DC52" s="6"/>
      <c r="DF52" s="6"/>
      <c r="DG52" s="6"/>
      <c r="DH52" s="6"/>
      <c r="DI52" s="6">
        <v>156529</v>
      </c>
      <c r="DJ52" s="6"/>
      <c r="DK52" s="6"/>
      <c r="DL52" s="6">
        <v>4485</v>
      </c>
      <c r="DM52" s="6"/>
      <c r="DN52" s="6"/>
      <c r="DO52" s="6"/>
      <c r="DP52" s="6">
        <v>44525</v>
      </c>
      <c r="DU52" s="6">
        <f>VLOOKUP($A52,[3]Totals!$B$2:$K$119,10,FALSE)</f>
        <v>154739.41</v>
      </c>
      <c r="DV52" s="6">
        <f>VLOOKUP($A52,[3]Totals!$B$2:$K$119,9,FALSE)</f>
        <v>0</v>
      </c>
    </row>
    <row r="53" spans="1:126" x14ac:dyDescent="0.2">
      <c r="A53" s="3">
        <v>416</v>
      </c>
      <c r="B53" s="2" t="s">
        <v>76</v>
      </c>
      <c r="C53" t="s">
        <v>19</v>
      </c>
      <c r="D53">
        <v>8</v>
      </c>
      <c r="E53" s="1">
        <v>371</v>
      </c>
      <c r="F53" s="4">
        <v>0.79500000000000004</v>
      </c>
      <c r="G53">
        <v>295</v>
      </c>
      <c r="H53" s="6">
        <v>195277</v>
      </c>
      <c r="I53" s="6">
        <v>112569</v>
      </c>
      <c r="J53" s="6"/>
      <c r="K53" s="6">
        <v>67876</v>
      </c>
      <c r="L53" s="6">
        <v>6695</v>
      </c>
      <c r="M53" s="6">
        <v>78183</v>
      </c>
      <c r="N53" s="6">
        <v>60194</v>
      </c>
      <c r="O53" s="6">
        <v>202380</v>
      </c>
      <c r="P53" s="6">
        <v>112569</v>
      </c>
      <c r="Q53" s="6"/>
      <c r="R53" s="6"/>
      <c r="S53" s="6"/>
      <c r="T53" s="6"/>
      <c r="U53" s="6"/>
      <c r="V53" s="6"/>
      <c r="W53" s="6"/>
      <c r="X53" s="6"/>
      <c r="Y53" s="6"/>
      <c r="Z53" s="6"/>
      <c r="AA53" s="6"/>
      <c r="AB53" s="6"/>
      <c r="AC53" s="6"/>
      <c r="AD53" s="6">
        <v>149561</v>
      </c>
      <c r="AE53" s="6">
        <v>112569</v>
      </c>
      <c r="AF53" s="6">
        <v>225138</v>
      </c>
      <c r="AG53" s="6">
        <v>1125690</v>
      </c>
      <c r="AH53" s="6"/>
      <c r="AI53" s="6">
        <v>224928</v>
      </c>
      <c r="AJ53" s="6"/>
      <c r="AK53" s="6"/>
      <c r="AL53" s="6"/>
      <c r="AM53" s="6"/>
      <c r="AN53" s="6"/>
      <c r="AO53" s="6"/>
      <c r="AP53" s="6">
        <v>10131</v>
      </c>
      <c r="AQ53" s="6"/>
      <c r="AR53" s="6"/>
      <c r="AS53" s="6"/>
      <c r="AT53" s="6"/>
      <c r="AU53" s="6"/>
      <c r="AV53" s="6"/>
      <c r="AW53" s="6">
        <v>0</v>
      </c>
      <c r="AX53" s="6"/>
      <c r="AY53" s="6"/>
      <c r="AZ53" s="6">
        <v>168223.74</v>
      </c>
      <c r="BA53" s="6"/>
      <c r="BB53" s="6"/>
      <c r="BC53" s="6"/>
      <c r="BD53" s="6"/>
      <c r="BE53" s="6"/>
      <c r="BF53" s="6"/>
      <c r="BG53" s="6"/>
      <c r="BH53" s="6"/>
      <c r="BI53" s="6"/>
      <c r="BJ53" s="6"/>
      <c r="BK53" s="6"/>
      <c r="BL53" s="6"/>
      <c r="BM53" s="6"/>
      <c r="BN53" s="6"/>
      <c r="BO53" s="6"/>
      <c r="BP53" s="6"/>
      <c r="BQ53" s="6"/>
      <c r="BR53" s="6"/>
      <c r="BS53" s="6"/>
      <c r="BT53" s="6"/>
      <c r="BU53" s="6"/>
      <c r="BV53" s="6"/>
      <c r="BW53" s="6"/>
      <c r="BX53" s="6">
        <v>746798</v>
      </c>
      <c r="BY53" s="6"/>
      <c r="BZ53" s="6"/>
      <c r="CA53" s="6"/>
      <c r="CB53" s="6"/>
      <c r="CC53" s="6"/>
      <c r="CD53" s="6"/>
      <c r="CE53" s="6"/>
      <c r="CF53" s="6">
        <v>112569</v>
      </c>
      <c r="CG53" s="6">
        <f t="shared" si="0"/>
        <v>3711350.74</v>
      </c>
      <c r="CI53" s="6">
        <v>112569</v>
      </c>
      <c r="CJ53" s="6">
        <v>187835</v>
      </c>
      <c r="CK53" s="6">
        <v>90879</v>
      </c>
      <c r="CL53" s="6"/>
      <c r="CM53" s="6"/>
      <c r="CN53" s="6">
        <v>69509</v>
      </c>
      <c r="CO53" s="6"/>
      <c r="CP53" s="6"/>
      <c r="CQ53" s="6">
        <v>1891159</v>
      </c>
      <c r="CR53" s="6">
        <v>337707</v>
      </c>
      <c r="CS53" s="6">
        <v>23000</v>
      </c>
      <c r="CT53" s="6">
        <v>5000</v>
      </c>
      <c r="CU53" s="6">
        <v>100000</v>
      </c>
      <c r="CV53" s="6"/>
      <c r="CW53" s="6">
        <v>112569</v>
      </c>
      <c r="CX53" s="6">
        <v>0</v>
      </c>
      <c r="CY53" s="6"/>
      <c r="CZ53" s="6"/>
      <c r="DB53" s="6"/>
      <c r="DC53" s="6"/>
      <c r="DF53" s="6"/>
      <c r="DG53" s="6"/>
      <c r="DH53" s="6"/>
      <c r="DI53" s="6">
        <v>156529</v>
      </c>
      <c r="DJ53" s="6"/>
      <c r="DK53" s="6"/>
      <c r="DL53" s="6">
        <v>11844</v>
      </c>
      <c r="DM53" s="6"/>
      <c r="DN53" s="6"/>
      <c r="DO53" s="6"/>
      <c r="DP53" s="6">
        <v>53250</v>
      </c>
      <c r="DU53" s="6">
        <f>VLOOKUP($A53,[3]Totals!$B$2:$K$119,10,FALSE)</f>
        <v>189061.03</v>
      </c>
      <c r="DV53" s="6">
        <f>VLOOKUP($A53,[3]Totals!$B$2:$K$119,9,FALSE)</f>
        <v>110030</v>
      </c>
    </row>
    <row r="54" spans="1:126" x14ac:dyDescent="0.2">
      <c r="A54" s="3">
        <v>421</v>
      </c>
      <c r="B54" s="2" t="s">
        <v>75</v>
      </c>
      <c r="C54" t="s">
        <v>19</v>
      </c>
      <c r="D54">
        <v>7</v>
      </c>
      <c r="E54" s="1">
        <v>450</v>
      </c>
      <c r="F54" s="4">
        <v>0.69799999999999995</v>
      </c>
      <c r="G54">
        <v>314</v>
      </c>
      <c r="H54" s="6">
        <v>195277</v>
      </c>
      <c r="I54" s="6">
        <v>123826</v>
      </c>
      <c r="J54" s="6"/>
      <c r="K54" s="6">
        <v>67876</v>
      </c>
      <c r="L54" s="6">
        <v>6050</v>
      </c>
      <c r="M54" s="6">
        <v>78183</v>
      </c>
      <c r="N54" s="6">
        <v>60194</v>
      </c>
      <c r="O54" s="6">
        <v>151785</v>
      </c>
      <c r="P54" s="6">
        <v>112569</v>
      </c>
      <c r="Q54" s="6"/>
      <c r="R54" s="6"/>
      <c r="S54" s="6"/>
      <c r="T54" s="6"/>
      <c r="U54" s="6"/>
      <c r="V54" s="6"/>
      <c r="W54" s="6"/>
      <c r="X54" s="6"/>
      <c r="Y54" s="6"/>
      <c r="Z54" s="6"/>
      <c r="AA54" s="6"/>
      <c r="AB54" s="6"/>
      <c r="AC54" s="6"/>
      <c r="AD54" s="6">
        <v>177449</v>
      </c>
      <c r="AE54" s="6">
        <v>112569</v>
      </c>
      <c r="AF54" s="6">
        <v>450276</v>
      </c>
      <c r="AG54" s="6">
        <v>1238259</v>
      </c>
      <c r="AH54" s="6"/>
      <c r="AI54" s="6">
        <v>149952</v>
      </c>
      <c r="AJ54" s="6"/>
      <c r="AK54" s="6">
        <v>110030</v>
      </c>
      <c r="AL54" s="6"/>
      <c r="AM54" s="6"/>
      <c r="AN54" s="6"/>
      <c r="AO54" s="6">
        <v>112569</v>
      </c>
      <c r="AP54" s="6"/>
      <c r="AQ54" s="6"/>
      <c r="AR54" s="6"/>
      <c r="AS54" s="6"/>
      <c r="AT54" s="6"/>
      <c r="AU54" s="6"/>
      <c r="AV54" s="6"/>
      <c r="AW54" s="6">
        <v>0</v>
      </c>
      <c r="AX54" s="6"/>
      <c r="AY54" s="6"/>
      <c r="AZ54" s="6">
        <v>204045</v>
      </c>
      <c r="BA54" s="6"/>
      <c r="BB54" s="6"/>
      <c r="BC54" s="6"/>
      <c r="BD54" s="6"/>
      <c r="BE54" s="6"/>
      <c r="BF54" s="6"/>
      <c r="BG54" s="6"/>
      <c r="BH54" s="6"/>
      <c r="BI54" s="6"/>
      <c r="BJ54" s="6"/>
      <c r="BK54" s="6"/>
      <c r="BL54" s="6"/>
      <c r="BM54" s="6"/>
      <c r="BN54" s="6"/>
      <c r="BO54" s="6"/>
      <c r="BP54" s="6"/>
      <c r="BQ54" s="6"/>
      <c r="BR54" s="6"/>
      <c r="BS54" s="6"/>
      <c r="BT54" s="6"/>
      <c r="BU54" s="6"/>
      <c r="BV54" s="6"/>
      <c r="BW54" s="6"/>
      <c r="BX54" s="6">
        <v>794897</v>
      </c>
      <c r="BY54" s="6"/>
      <c r="BZ54" s="6"/>
      <c r="CA54" s="6"/>
      <c r="CB54" s="6"/>
      <c r="CC54" s="6">
        <v>306016</v>
      </c>
      <c r="CD54" s="6"/>
      <c r="CE54" s="6">
        <v>112569</v>
      </c>
      <c r="CF54" s="6">
        <v>0</v>
      </c>
      <c r="CG54" s="6">
        <f t="shared" si="0"/>
        <v>4564391</v>
      </c>
      <c r="CI54" s="6">
        <v>112569</v>
      </c>
      <c r="CJ54" s="6">
        <v>234794</v>
      </c>
      <c r="CK54" s="6">
        <v>90879</v>
      </c>
      <c r="CL54" s="6">
        <v>55703</v>
      </c>
      <c r="CM54" s="6"/>
      <c r="CN54" s="6">
        <v>69509</v>
      </c>
      <c r="CO54" s="6"/>
      <c r="CP54" s="6"/>
      <c r="CQ54" s="6">
        <v>2296408</v>
      </c>
      <c r="CR54" s="6">
        <v>337707</v>
      </c>
      <c r="CS54" s="6">
        <v>23000</v>
      </c>
      <c r="CT54" s="6"/>
      <c r="CU54" s="6">
        <v>100000</v>
      </c>
      <c r="CV54" s="6"/>
      <c r="CW54" s="6">
        <v>112569</v>
      </c>
      <c r="CX54" s="6">
        <v>0</v>
      </c>
      <c r="CY54" s="6"/>
      <c r="CZ54" s="6"/>
      <c r="DB54" s="6"/>
      <c r="DC54" s="6"/>
      <c r="DF54" s="6"/>
      <c r="DG54" s="6"/>
      <c r="DH54" s="6"/>
      <c r="DI54" s="6">
        <v>156529</v>
      </c>
      <c r="DJ54" s="6"/>
      <c r="DK54" s="6"/>
      <c r="DL54" s="6">
        <v>6279</v>
      </c>
      <c r="DM54" s="6"/>
      <c r="DN54" s="6"/>
      <c r="DO54" s="6"/>
      <c r="DP54" s="6">
        <v>94500</v>
      </c>
      <c r="DU54" s="6">
        <f>VLOOKUP($A54,[3]Totals!$B$2:$K$119,10,FALSE)</f>
        <v>218434.22</v>
      </c>
      <c r="DV54" s="6">
        <f>VLOOKUP($A54,[3]Totals!$B$2:$K$119,9,FALSE)</f>
        <v>225138</v>
      </c>
    </row>
    <row r="55" spans="1:126" x14ac:dyDescent="0.2">
      <c r="A55" s="3">
        <v>257</v>
      </c>
      <c r="B55" s="2" t="s">
        <v>74</v>
      </c>
      <c r="C55" t="s">
        <v>7</v>
      </c>
      <c r="D55">
        <v>8</v>
      </c>
      <c r="E55" s="1">
        <v>336</v>
      </c>
      <c r="F55" s="4">
        <v>0.78</v>
      </c>
      <c r="G55">
        <v>262</v>
      </c>
      <c r="H55" s="6">
        <v>195277</v>
      </c>
      <c r="I55" s="6"/>
      <c r="J55" s="6"/>
      <c r="K55" s="6">
        <v>67876</v>
      </c>
      <c r="L55" s="6">
        <v>7020</v>
      </c>
      <c r="M55" s="6">
        <v>78183</v>
      </c>
      <c r="N55" s="6">
        <v>60194</v>
      </c>
      <c r="O55" s="6">
        <v>101190</v>
      </c>
      <c r="P55" s="6">
        <v>112569</v>
      </c>
      <c r="Q55" s="6">
        <v>112569</v>
      </c>
      <c r="R55" s="6">
        <v>225138</v>
      </c>
      <c r="S55" s="6">
        <v>225138</v>
      </c>
      <c r="T55" s="6">
        <v>187440</v>
      </c>
      <c r="U55" s="6"/>
      <c r="V55" s="6"/>
      <c r="W55" s="6"/>
      <c r="X55" s="6"/>
      <c r="Y55" s="6"/>
      <c r="Z55" s="6"/>
      <c r="AA55" s="6"/>
      <c r="AB55" s="6"/>
      <c r="AC55" s="6"/>
      <c r="AD55" s="6">
        <v>121694</v>
      </c>
      <c r="AE55" s="6">
        <v>112569</v>
      </c>
      <c r="AF55" s="6">
        <v>112569</v>
      </c>
      <c r="AG55" s="6">
        <v>450276</v>
      </c>
      <c r="AH55" s="6"/>
      <c r="AI55" s="6"/>
      <c r="AJ55" s="6"/>
      <c r="AK55" s="6"/>
      <c r="AL55" s="6"/>
      <c r="AM55" s="6"/>
      <c r="AN55" s="6"/>
      <c r="AO55" s="6"/>
      <c r="AP55" s="6">
        <v>40525</v>
      </c>
      <c r="AQ55" s="6"/>
      <c r="AR55" s="6"/>
      <c r="AS55" s="6">
        <f>27200-13600</f>
        <v>13600</v>
      </c>
      <c r="AT55" s="6">
        <f>27200-13600</f>
        <v>13600</v>
      </c>
      <c r="AU55" s="6">
        <v>10200</v>
      </c>
      <c r="AV55" s="6"/>
      <c r="AW55" s="6">
        <v>27200</v>
      </c>
      <c r="AX55" s="6"/>
      <c r="AY55" s="6"/>
      <c r="AZ55" s="6">
        <v>152353.60000000001</v>
      </c>
      <c r="BA55" s="6"/>
      <c r="BB55" s="6"/>
      <c r="BC55" s="6"/>
      <c r="BD55" s="6"/>
      <c r="BE55" s="6"/>
      <c r="BF55" s="6"/>
      <c r="BG55" s="6"/>
      <c r="BH55" s="6"/>
      <c r="BI55" s="6"/>
      <c r="BJ55" s="6"/>
      <c r="BK55" s="6"/>
      <c r="BL55" s="6"/>
      <c r="BM55" s="6"/>
      <c r="BN55" s="6"/>
      <c r="BO55" s="6"/>
      <c r="BP55" s="6"/>
      <c r="BQ55" s="6"/>
      <c r="BR55" s="6">
        <v>13859</v>
      </c>
      <c r="BS55" s="6"/>
      <c r="BT55" s="6"/>
      <c r="BU55" s="6"/>
      <c r="BV55" s="6"/>
      <c r="BW55" s="6"/>
      <c r="BX55" s="6">
        <v>663257.5</v>
      </c>
      <c r="BY55" s="6"/>
      <c r="BZ55" s="6"/>
      <c r="CA55" s="6"/>
      <c r="CB55" s="6"/>
      <c r="CC55" s="6"/>
      <c r="CD55" s="6"/>
      <c r="CE55" s="6"/>
      <c r="CF55" s="6">
        <v>112569</v>
      </c>
      <c r="CG55" s="6">
        <f t="shared" si="0"/>
        <v>3216866.1</v>
      </c>
      <c r="CI55" s="6">
        <v>112569</v>
      </c>
      <c r="CJ55" s="6">
        <v>125223</v>
      </c>
      <c r="CK55" s="6">
        <v>90879</v>
      </c>
      <c r="CL55" s="6"/>
      <c r="CM55" s="6"/>
      <c r="CN55" s="6"/>
      <c r="CO55" s="6">
        <f>506561-DG55</f>
        <v>337707</v>
      </c>
      <c r="CP55" s="6">
        <v>112464</v>
      </c>
      <c r="CQ55" s="6">
        <v>1575966</v>
      </c>
      <c r="CR55" s="6"/>
      <c r="CS55" s="6"/>
      <c r="CT55" s="6"/>
      <c r="CU55" s="6"/>
      <c r="CV55" s="6"/>
      <c r="CW55" s="6"/>
      <c r="CX55" s="6">
        <v>0</v>
      </c>
      <c r="CY55" s="6"/>
      <c r="CZ55" s="6"/>
      <c r="DB55" s="6"/>
      <c r="DC55" s="6"/>
      <c r="DF55" s="6"/>
      <c r="DG55" s="6">
        <v>168854</v>
      </c>
      <c r="DH55" s="6"/>
      <c r="DI55" s="6"/>
      <c r="DJ55" s="6"/>
      <c r="DK55" s="6"/>
      <c r="DL55" s="6">
        <v>10526</v>
      </c>
      <c r="DM55" s="6"/>
      <c r="DN55" s="6"/>
      <c r="DO55" s="6"/>
      <c r="DP55" s="6">
        <v>14575</v>
      </c>
      <c r="DU55" s="6">
        <f>VLOOKUP($A55,[3]Totals!$B$2:$K$119,10,FALSE)</f>
        <v>246407.5</v>
      </c>
      <c r="DV55" s="6">
        <f>VLOOKUP($A55,[3]Totals!$B$2:$K$119,9,FALSE)</f>
        <v>341268</v>
      </c>
    </row>
    <row r="56" spans="1:126" x14ac:dyDescent="0.2">
      <c r="A56" s="3">
        <v>272</v>
      </c>
      <c r="B56" s="2" t="s">
        <v>73</v>
      </c>
      <c r="C56" t="s">
        <v>7</v>
      </c>
      <c r="D56">
        <v>3</v>
      </c>
      <c r="E56" s="1">
        <v>360</v>
      </c>
      <c r="F56" s="4">
        <v>1.7000000000000001E-2</v>
      </c>
      <c r="G56">
        <v>6</v>
      </c>
      <c r="H56" s="6">
        <v>195277</v>
      </c>
      <c r="I56" s="6"/>
      <c r="J56" s="6"/>
      <c r="K56" s="6">
        <v>67876</v>
      </c>
      <c r="L56" s="6">
        <v>4539</v>
      </c>
      <c r="M56" s="6">
        <v>78183</v>
      </c>
      <c r="N56" s="6">
        <v>60194</v>
      </c>
      <c r="O56" s="6">
        <v>101190</v>
      </c>
      <c r="P56" s="6">
        <v>112569</v>
      </c>
      <c r="Q56" s="6"/>
      <c r="R56" s="6"/>
      <c r="S56" s="6">
        <v>225138</v>
      </c>
      <c r="T56" s="6">
        <v>74976</v>
      </c>
      <c r="U56" s="6"/>
      <c r="V56" s="6"/>
      <c r="W56" s="6"/>
      <c r="X56" s="6"/>
      <c r="Y56" s="6"/>
      <c r="Z56" s="6"/>
      <c r="AA56" s="6"/>
      <c r="AB56" s="6"/>
      <c r="AC56" s="6"/>
      <c r="AD56" s="6">
        <v>120154</v>
      </c>
      <c r="AE56" s="6">
        <v>112569</v>
      </c>
      <c r="AF56" s="6">
        <v>112569</v>
      </c>
      <c r="AG56" s="6">
        <v>337707</v>
      </c>
      <c r="AH56" s="6"/>
      <c r="AI56" s="6"/>
      <c r="AJ56" s="6"/>
      <c r="AK56" s="6"/>
      <c r="AL56" s="6"/>
      <c r="AM56" s="6"/>
      <c r="AN56" s="6"/>
      <c r="AO56" s="6">
        <v>112569</v>
      </c>
      <c r="AP56" s="6"/>
      <c r="AQ56" s="6"/>
      <c r="AR56" s="6"/>
      <c r="AS56" s="6"/>
      <c r="AT56" s="6"/>
      <c r="AU56" s="6"/>
      <c r="AV56" s="6"/>
      <c r="AW56" s="6">
        <v>0</v>
      </c>
      <c r="AX56" s="6"/>
      <c r="AY56" s="6"/>
      <c r="AZ56" s="6">
        <v>0</v>
      </c>
      <c r="BA56" s="6"/>
      <c r="BB56" s="6">
        <v>9000</v>
      </c>
      <c r="BC56" s="6"/>
      <c r="BD56" s="6"/>
      <c r="BE56" s="6"/>
      <c r="BF56" s="6"/>
      <c r="BG56" s="6"/>
      <c r="BH56" s="6"/>
      <c r="BI56" s="6"/>
      <c r="BJ56" s="6"/>
      <c r="BK56" s="6"/>
      <c r="BL56" s="6"/>
      <c r="BM56" s="6"/>
      <c r="BN56" s="6"/>
      <c r="BO56" s="6"/>
      <c r="BP56" s="6"/>
      <c r="BQ56" s="6"/>
      <c r="BR56" s="6"/>
      <c r="BS56" s="6"/>
      <c r="BT56" s="6"/>
      <c r="BU56" s="6"/>
      <c r="BV56" s="6"/>
      <c r="BW56" s="6"/>
      <c r="BX56" s="6">
        <v>15189</v>
      </c>
      <c r="BY56" s="6"/>
      <c r="BZ56" s="6"/>
      <c r="CA56" s="6"/>
      <c r="CB56" s="6"/>
      <c r="CC56" s="6"/>
      <c r="CD56" s="6"/>
      <c r="CE56" s="6"/>
      <c r="CF56" s="6">
        <v>0</v>
      </c>
      <c r="CG56" s="6">
        <f t="shared" si="0"/>
        <v>1739699</v>
      </c>
      <c r="CI56" s="6">
        <v>112569</v>
      </c>
      <c r="CJ56" s="6">
        <v>140876</v>
      </c>
      <c r="CK56" s="6">
        <v>90879</v>
      </c>
      <c r="CL56" s="6"/>
      <c r="CM56" s="6"/>
      <c r="CN56" s="6"/>
      <c r="CO56" s="6">
        <v>337707</v>
      </c>
      <c r="CP56" s="6">
        <v>112464</v>
      </c>
      <c r="CQ56" s="6">
        <v>1913673</v>
      </c>
      <c r="CR56" s="6"/>
      <c r="CS56" s="6"/>
      <c r="CT56" s="6"/>
      <c r="CU56" s="6"/>
      <c r="CV56" s="6"/>
      <c r="CW56" s="6"/>
      <c r="CX56" s="6">
        <v>0</v>
      </c>
      <c r="CY56" s="6"/>
      <c r="CZ56" s="6"/>
      <c r="DB56" s="6"/>
      <c r="DC56" s="6"/>
      <c r="DF56" s="6"/>
      <c r="DG56" s="6"/>
      <c r="DH56" s="6"/>
      <c r="DI56" s="6"/>
      <c r="DJ56" s="6"/>
      <c r="DK56" s="6"/>
      <c r="DL56" s="6"/>
      <c r="DM56" s="6"/>
      <c r="DN56" s="6"/>
      <c r="DO56" s="6"/>
      <c r="DP56" s="6">
        <v>2625</v>
      </c>
      <c r="DU56" s="6">
        <f>VLOOKUP($A56,[3]Totals!$B$2:$K$119,10,FALSE)</f>
        <v>33780</v>
      </c>
      <c r="DV56" s="6">
        <f>VLOOKUP($A56,[3]Totals!$B$2:$K$119,9,FALSE)</f>
        <v>0</v>
      </c>
    </row>
    <row r="57" spans="1:126" x14ac:dyDescent="0.2">
      <c r="A57" s="3">
        <v>259</v>
      </c>
      <c r="B57" s="2" t="s">
        <v>72</v>
      </c>
      <c r="C57" t="s">
        <v>7</v>
      </c>
      <c r="D57">
        <v>7</v>
      </c>
      <c r="E57" s="1">
        <v>398</v>
      </c>
      <c r="F57" s="4">
        <v>0.72399999999999998</v>
      </c>
      <c r="G57">
        <v>288</v>
      </c>
      <c r="H57" s="6">
        <v>195277</v>
      </c>
      <c r="I57" s="6"/>
      <c r="J57" s="6"/>
      <c r="K57" s="6">
        <v>67876</v>
      </c>
      <c r="L57" s="6">
        <v>6144</v>
      </c>
      <c r="M57" s="6">
        <v>78183</v>
      </c>
      <c r="N57" s="6">
        <v>60194</v>
      </c>
      <c r="O57" s="6">
        <v>101190</v>
      </c>
      <c r="P57" s="6">
        <v>112569</v>
      </c>
      <c r="Q57" s="6">
        <v>225138</v>
      </c>
      <c r="R57" s="6">
        <v>112569</v>
      </c>
      <c r="S57" s="6">
        <v>225138</v>
      </c>
      <c r="T57" s="6">
        <v>187440</v>
      </c>
      <c r="U57" s="6"/>
      <c r="V57" s="6"/>
      <c r="W57" s="6"/>
      <c r="X57" s="6"/>
      <c r="Y57" s="6"/>
      <c r="Z57" s="6"/>
      <c r="AA57" s="6"/>
      <c r="AB57" s="6"/>
      <c r="AC57" s="6"/>
      <c r="AD57" s="6">
        <v>134488</v>
      </c>
      <c r="AE57" s="6">
        <v>112569</v>
      </c>
      <c r="AF57" s="6">
        <v>225138</v>
      </c>
      <c r="AG57" s="6">
        <v>450276</v>
      </c>
      <c r="AH57" s="6"/>
      <c r="AI57" s="6"/>
      <c r="AJ57" s="6"/>
      <c r="AK57" s="6"/>
      <c r="AL57" s="6"/>
      <c r="AM57" s="6"/>
      <c r="AN57" s="6"/>
      <c r="AO57" s="6"/>
      <c r="AP57" s="6">
        <v>15760</v>
      </c>
      <c r="AQ57" s="6"/>
      <c r="AR57" s="6"/>
      <c r="AS57" s="6">
        <f>34000-20400</f>
        <v>13600</v>
      </c>
      <c r="AT57" s="6">
        <f>34000-20400</f>
        <v>13600</v>
      </c>
      <c r="AU57" s="6">
        <v>10200</v>
      </c>
      <c r="AV57" s="6"/>
      <c r="AW57" s="6">
        <v>40800</v>
      </c>
      <c r="AX57" s="6"/>
      <c r="AY57" s="6"/>
      <c r="AZ57" s="6">
        <v>180466</v>
      </c>
      <c r="BA57" s="6"/>
      <c r="BB57" s="6"/>
      <c r="BC57" s="6"/>
      <c r="BD57" s="6"/>
      <c r="BE57" s="6"/>
      <c r="BF57" s="6"/>
      <c r="BG57" s="6"/>
      <c r="BH57" s="6"/>
      <c r="BI57" s="6"/>
      <c r="BJ57" s="6"/>
      <c r="BK57" s="6"/>
      <c r="BL57" s="6"/>
      <c r="BM57" s="6"/>
      <c r="BN57" s="6"/>
      <c r="BO57" s="6"/>
      <c r="BP57" s="6"/>
      <c r="BQ57" s="6"/>
      <c r="BR57" s="6"/>
      <c r="BS57" s="6"/>
      <c r="BT57" s="6"/>
      <c r="BU57" s="6"/>
      <c r="BV57" s="6"/>
      <c r="BW57" s="6"/>
      <c r="BX57" s="6">
        <v>729077</v>
      </c>
      <c r="BY57" s="6"/>
      <c r="BZ57" s="6"/>
      <c r="CA57" s="6"/>
      <c r="CB57" s="6"/>
      <c r="CC57" s="6">
        <v>65306</v>
      </c>
      <c r="CD57" s="6"/>
      <c r="CE57" s="6">
        <v>112569</v>
      </c>
      <c r="CF57" s="6">
        <v>0</v>
      </c>
      <c r="CG57" s="6">
        <f t="shared" si="0"/>
        <v>3475567</v>
      </c>
      <c r="CI57" s="6">
        <v>112569</v>
      </c>
      <c r="CJ57" s="6">
        <v>156529</v>
      </c>
      <c r="CK57" s="6">
        <v>90879</v>
      </c>
      <c r="CL57" s="6"/>
      <c r="CM57" s="6"/>
      <c r="CN57" s="6"/>
      <c r="CO57" s="6">
        <v>337707</v>
      </c>
      <c r="CP57" s="6">
        <v>74976</v>
      </c>
      <c r="CQ57" s="6">
        <v>1913673</v>
      </c>
      <c r="CR57" s="6"/>
      <c r="CS57" s="6"/>
      <c r="CT57" s="6"/>
      <c r="CU57" s="6"/>
      <c r="CV57" s="6"/>
      <c r="CW57" s="6"/>
      <c r="CX57" s="6">
        <v>0</v>
      </c>
      <c r="CY57" s="6"/>
      <c r="CZ57" s="6"/>
      <c r="DB57" s="6"/>
      <c r="DC57" s="6"/>
      <c r="DF57" s="6"/>
      <c r="DG57" s="6"/>
      <c r="DH57" s="6"/>
      <c r="DI57" s="6"/>
      <c r="DJ57" s="6"/>
      <c r="DK57" s="6"/>
      <c r="DL57" s="6">
        <v>5788</v>
      </c>
      <c r="DM57" s="6"/>
      <c r="DN57" s="6"/>
      <c r="DO57" s="6"/>
      <c r="DP57" s="6">
        <v>24700</v>
      </c>
      <c r="DU57" s="6">
        <f>VLOOKUP($A57,[3]Totals!$B$2:$K$119,10,FALSE)</f>
        <v>269212.21000000002</v>
      </c>
      <c r="DV57" s="6">
        <f>VLOOKUP($A57,[3]Totals!$B$2:$K$119,9,FALSE)</f>
        <v>244656</v>
      </c>
    </row>
    <row r="58" spans="1:126" x14ac:dyDescent="0.2">
      <c r="A58" s="3">
        <v>344</v>
      </c>
      <c r="B58" s="2" t="s">
        <v>71</v>
      </c>
      <c r="C58" t="s">
        <v>7</v>
      </c>
      <c r="D58">
        <v>8</v>
      </c>
      <c r="E58" s="1">
        <v>270</v>
      </c>
      <c r="F58" s="4">
        <v>0.79600000000000004</v>
      </c>
      <c r="G58">
        <v>215</v>
      </c>
      <c r="H58" s="6">
        <v>195277</v>
      </c>
      <c r="I58" s="6"/>
      <c r="J58" s="6"/>
      <c r="K58" s="6">
        <v>67876</v>
      </c>
      <c r="L58" s="6">
        <v>4448</v>
      </c>
      <c r="M58" s="6">
        <v>78183</v>
      </c>
      <c r="N58" s="6">
        <v>60194</v>
      </c>
      <c r="O58" s="6">
        <v>50595</v>
      </c>
      <c r="P58" s="6">
        <f t="shared" ref="P58:P59" si="2">91547+15105+5917.07</f>
        <v>112569.07</v>
      </c>
      <c r="Q58" s="6">
        <v>225138</v>
      </c>
      <c r="R58" s="6"/>
      <c r="S58" s="6">
        <v>337707</v>
      </c>
      <c r="T58" s="6">
        <v>187440</v>
      </c>
      <c r="U58" s="6"/>
      <c r="V58" s="6"/>
      <c r="W58" s="6"/>
      <c r="X58" s="6"/>
      <c r="Y58" s="6"/>
      <c r="Z58" s="6"/>
      <c r="AA58" s="6"/>
      <c r="AB58" s="6"/>
      <c r="AC58" s="6"/>
      <c r="AD58" s="6">
        <v>107610</v>
      </c>
      <c r="AE58" s="6">
        <v>112569</v>
      </c>
      <c r="AF58" s="6">
        <v>112569</v>
      </c>
      <c r="AG58" s="6">
        <v>675414</v>
      </c>
      <c r="AH58" s="6"/>
      <c r="AI58" s="6">
        <v>224928</v>
      </c>
      <c r="AJ58" s="6"/>
      <c r="AK58" s="6"/>
      <c r="AL58" s="6"/>
      <c r="AM58" s="6"/>
      <c r="AN58" s="6"/>
      <c r="AO58" s="6"/>
      <c r="AP58" s="6">
        <v>5628</v>
      </c>
      <c r="AQ58" s="6"/>
      <c r="AR58" s="6"/>
      <c r="AS58" s="6">
        <f>27200-13600</f>
        <v>13600</v>
      </c>
      <c r="AT58" s="6">
        <f>27200-13600</f>
        <v>13600</v>
      </c>
      <c r="AU58" s="6">
        <v>10200</v>
      </c>
      <c r="AV58" s="6"/>
      <c r="AW58" s="6">
        <v>27200</v>
      </c>
      <c r="AX58" s="6"/>
      <c r="AY58" s="6"/>
      <c r="AZ58" s="6">
        <v>122424.8</v>
      </c>
      <c r="BA58" s="6"/>
      <c r="BB58" s="6"/>
      <c r="BC58" s="6"/>
      <c r="BD58" s="6"/>
      <c r="BE58" s="6"/>
      <c r="BF58" s="6"/>
      <c r="BG58" s="6"/>
      <c r="BH58" s="6"/>
      <c r="BI58" s="6"/>
      <c r="BJ58" s="6"/>
      <c r="BK58" s="6"/>
      <c r="BL58" s="6"/>
      <c r="BM58" s="6"/>
      <c r="BN58" s="6"/>
      <c r="BO58" s="6"/>
      <c r="BP58" s="6"/>
      <c r="BQ58" s="6"/>
      <c r="BR58" s="6">
        <v>13859</v>
      </c>
      <c r="BS58" s="6"/>
      <c r="BT58" s="6"/>
      <c r="BU58" s="6"/>
      <c r="BV58" s="6"/>
      <c r="BW58" s="6"/>
      <c r="BX58" s="6">
        <v>544277.09499999997</v>
      </c>
      <c r="BY58" s="6"/>
      <c r="BZ58" s="6"/>
      <c r="CA58" s="6"/>
      <c r="CB58" s="6"/>
      <c r="CC58" s="6">
        <v>238774</v>
      </c>
      <c r="CD58" s="6"/>
      <c r="CE58" s="6">
        <v>112569</v>
      </c>
      <c r="CF58" s="6">
        <v>116130</v>
      </c>
      <c r="CG58" s="6">
        <f t="shared" si="0"/>
        <v>3770778.9649999999</v>
      </c>
      <c r="CI58" s="6">
        <v>112569</v>
      </c>
      <c r="CJ58" s="6"/>
      <c r="CK58" s="6">
        <v>45440</v>
      </c>
      <c r="CL58" s="6"/>
      <c r="CM58" s="6"/>
      <c r="CN58" s="6"/>
      <c r="CO58" s="6">
        <v>337707</v>
      </c>
      <c r="CP58" s="6">
        <v>74976</v>
      </c>
      <c r="CQ58" s="6">
        <v>1350828</v>
      </c>
      <c r="CR58" s="6"/>
      <c r="CS58" s="6"/>
      <c r="CT58" s="6"/>
      <c r="CU58" s="6"/>
      <c r="CV58" s="6"/>
      <c r="CW58" s="6"/>
      <c r="CX58" s="6">
        <v>0</v>
      </c>
      <c r="CY58" s="6"/>
      <c r="CZ58" s="6"/>
      <c r="DB58" s="6"/>
      <c r="DC58" s="6"/>
      <c r="DF58" s="6"/>
      <c r="DG58" s="6"/>
      <c r="DH58" s="6"/>
      <c r="DI58" s="6"/>
      <c r="DJ58" s="6"/>
      <c r="DK58" s="6"/>
      <c r="DL58" s="6">
        <v>8637</v>
      </c>
      <c r="DM58" s="6"/>
      <c r="DN58" s="6"/>
      <c r="DO58" s="6"/>
      <c r="DP58" s="6">
        <v>18850</v>
      </c>
      <c r="DU58" s="6">
        <f>VLOOKUP($A58,[3]Totals!$B$2:$K$119,10,FALSE)</f>
        <v>122372.31</v>
      </c>
      <c r="DV58" s="6">
        <f>VLOOKUP($A58,[3]Totals!$B$2:$K$119,9,FALSE)</f>
        <v>177584</v>
      </c>
    </row>
    <row r="59" spans="1:126" x14ac:dyDescent="0.2">
      <c r="A59" s="3">
        <v>417</v>
      </c>
      <c r="B59" s="2" t="s">
        <v>70</v>
      </c>
      <c r="C59" t="s">
        <v>19</v>
      </c>
      <c r="D59">
        <v>8</v>
      </c>
      <c r="E59" s="1">
        <v>246</v>
      </c>
      <c r="F59" s="4">
        <v>0.85</v>
      </c>
      <c r="G59">
        <v>209</v>
      </c>
      <c r="H59" s="6">
        <v>195277</v>
      </c>
      <c r="I59" s="6">
        <v>112569</v>
      </c>
      <c r="J59" s="6"/>
      <c r="K59" s="6">
        <v>67876</v>
      </c>
      <c r="L59" s="6">
        <v>5613</v>
      </c>
      <c r="M59" s="6">
        <v>78183</v>
      </c>
      <c r="N59" s="6">
        <v>60194</v>
      </c>
      <c r="O59" s="6">
        <v>151785</v>
      </c>
      <c r="P59" s="6">
        <f t="shared" si="2"/>
        <v>112569.07</v>
      </c>
      <c r="Q59" s="6"/>
      <c r="R59" s="6"/>
      <c r="S59" s="6"/>
      <c r="T59" s="6"/>
      <c r="U59" s="6"/>
      <c r="V59" s="6"/>
      <c r="W59" s="6"/>
      <c r="X59" s="6"/>
      <c r="Y59" s="6"/>
      <c r="Z59" s="6"/>
      <c r="AA59" s="6"/>
      <c r="AB59" s="6"/>
      <c r="AC59" s="6"/>
      <c r="AD59" s="6">
        <v>113729</v>
      </c>
      <c r="AE59" s="6">
        <v>112569</v>
      </c>
      <c r="AF59" s="6">
        <v>225138</v>
      </c>
      <c r="AG59" s="6">
        <v>1125690</v>
      </c>
      <c r="AH59" s="6"/>
      <c r="AI59" s="6">
        <v>149952</v>
      </c>
      <c r="AJ59" s="6"/>
      <c r="AK59" s="6">
        <v>55015</v>
      </c>
      <c r="AL59" s="6"/>
      <c r="AM59" s="6"/>
      <c r="AN59" s="6"/>
      <c r="AO59" s="6"/>
      <c r="AP59" s="6">
        <v>10131</v>
      </c>
      <c r="AQ59" s="6"/>
      <c r="AR59" s="6"/>
      <c r="AS59" s="6"/>
      <c r="AT59" s="6"/>
      <c r="AU59" s="6"/>
      <c r="AV59" s="6"/>
      <c r="AW59" s="6">
        <v>0</v>
      </c>
      <c r="AX59" s="6"/>
      <c r="AY59" s="6"/>
      <c r="AZ59" s="6">
        <v>111544.11</v>
      </c>
      <c r="BA59" s="6"/>
      <c r="BB59" s="6"/>
      <c r="BC59" s="6"/>
      <c r="BD59" s="6"/>
      <c r="BE59" s="6"/>
      <c r="BF59" s="6"/>
      <c r="BG59" s="6"/>
      <c r="BH59" s="6"/>
      <c r="BI59" s="6"/>
      <c r="BJ59" s="6"/>
      <c r="BK59" s="6"/>
      <c r="BL59" s="6"/>
      <c r="BM59" s="6"/>
      <c r="BN59" s="6"/>
      <c r="BO59" s="6"/>
      <c r="BP59" s="6"/>
      <c r="BQ59" s="6"/>
      <c r="BR59" s="6"/>
      <c r="BS59" s="6"/>
      <c r="BT59" s="6"/>
      <c r="BU59" s="6"/>
      <c r="BV59" s="6"/>
      <c r="BW59" s="6"/>
      <c r="BX59" s="6">
        <v>529088</v>
      </c>
      <c r="BY59" s="6"/>
      <c r="BZ59" s="6"/>
      <c r="CA59" s="6"/>
      <c r="CB59" s="6"/>
      <c r="CC59" s="6"/>
      <c r="CD59" s="6"/>
      <c r="CE59" s="6">
        <v>112569</v>
      </c>
      <c r="CF59" s="6">
        <v>173372</v>
      </c>
      <c r="CG59" s="6">
        <f t="shared" si="0"/>
        <v>3502863.18</v>
      </c>
      <c r="CI59" s="6">
        <v>112569</v>
      </c>
      <c r="CJ59" s="6">
        <v>125223</v>
      </c>
      <c r="CK59" s="6">
        <v>45440</v>
      </c>
      <c r="CL59" s="6"/>
      <c r="CM59" s="6"/>
      <c r="CN59" s="6">
        <v>69509</v>
      </c>
      <c r="CO59" s="6"/>
      <c r="CP59" s="6"/>
      <c r="CQ59" s="6">
        <v>1260773</v>
      </c>
      <c r="CR59" s="6">
        <v>225138</v>
      </c>
      <c r="CS59" s="6">
        <v>23000</v>
      </c>
      <c r="CT59" s="6"/>
      <c r="CU59" s="6">
        <v>100000</v>
      </c>
      <c r="CV59" s="6"/>
      <c r="CW59" s="6">
        <v>112569</v>
      </c>
      <c r="CX59" s="6">
        <v>0</v>
      </c>
      <c r="CY59" s="6">
        <v>75000</v>
      </c>
      <c r="CZ59" s="6"/>
      <c r="DB59" s="6"/>
      <c r="DC59" s="6"/>
      <c r="DF59" s="6"/>
      <c r="DG59" s="6"/>
      <c r="DH59" s="6"/>
      <c r="DI59" s="6">
        <v>156529</v>
      </c>
      <c r="DJ59" s="6"/>
      <c r="DK59" s="6"/>
      <c r="DL59" s="6">
        <v>8389</v>
      </c>
      <c r="DM59" s="6"/>
      <c r="DN59" s="6"/>
      <c r="DO59" s="6"/>
      <c r="DP59" s="6">
        <v>48750</v>
      </c>
      <c r="DU59" s="6">
        <f>VLOOKUP($A59,[3]Totals!$B$2:$K$119,10,FALSE)</f>
        <v>117805.41</v>
      </c>
      <c r="DV59" s="6">
        <f>VLOOKUP($A59,[3]Totals!$B$2:$K$119,9,FALSE)</f>
        <v>182079</v>
      </c>
    </row>
    <row r="60" spans="1:126" x14ac:dyDescent="0.2">
      <c r="A60" s="3">
        <v>261</v>
      </c>
      <c r="B60" s="2" t="s">
        <v>69</v>
      </c>
      <c r="C60" t="s">
        <v>7</v>
      </c>
      <c r="D60">
        <v>4</v>
      </c>
      <c r="E60" s="1">
        <v>942</v>
      </c>
      <c r="F60" s="4">
        <v>0.04</v>
      </c>
      <c r="G60">
        <v>38</v>
      </c>
      <c r="H60" s="6">
        <v>195277</v>
      </c>
      <c r="I60" s="6"/>
      <c r="J60" s="6"/>
      <c r="K60" s="6">
        <v>67876</v>
      </c>
      <c r="L60" s="6">
        <v>9385</v>
      </c>
      <c r="M60" s="6">
        <v>78183</v>
      </c>
      <c r="N60" s="6">
        <v>60194</v>
      </c>
      <c r="O60" s="6">
        <v>202380</v>
      </c>
      <c r="P60" s="6">
        <v>112569</v>
      </c>
      <c r="Q60" s="6"/>
      <c r="R60" s="6"/>
      <c r="S60" s="6">
        <v>225138</v>
      </c>
      <c r="T60" s="6">
        <v>74976</v>
      </c>
      <c r="U60" s="6"/>
      <c r="V60" s="6"/>
      <c r="W60" s="6"/>
      <c r="X60" s="6"/>
      <c r="Y60" s="6"/>
      <c r="Z60" s="6"/>
      <c r="AA60" s="6"/>
      <c r="AB60" s="6"/>
      <c r="AC60" s="6"/>
      <c r="AD60" s="6">
        <v>296511</v>
      </c>
      <c r="AE60" s="6">
        <v>225138</v>
      </c>
      <c r="AF60" s="6">
        <v>225138</v>
      </c>
      <c r="AG60" s="6">
        <v>1125690</v>
      </c>
      <c r="AH60" s="6"/>
      <c r="AI60" s="6">
        <v>187440</v>
      </c>
      <c r="AJ60" s="6"/>
      <c r="AK60" s="6"/>
      <c r="AL60" s="6"/>
      <c r="AM60" s="6"/>
      <c r="AN60" s="6"/>
      <c r="AO60" s="6">
        <v>337707</v>
      </c>
      <c r="AP60" s="6"/>
      <c r="AQ60" s="6"/>
      <c r="AR60" s="6"/>
      <c r="AS60" s="6"/>
      <c r="AT60" s="6"/>
      <c r="AU60" s="6"/>
      <c r="AV60" s="6"/>
      <c r="AW60" s="6">
        <v>0</v>
      </c>
      <c r="AX60" s="6"/>
      <c r="AY60" s="6"/>
      <c r="AZ60" s="6">
        <v>0</v>
      </c>
      <c r="BA60" s="6"/>
      <c r="BB60" s="6">
        <v>24550</v>
      </c>
      <c r="BC60" s="6"/>
      <c r="BD60" s="6"/>
      <c r="BE60" s="6"/>
      <c r="BF60" s="6"/>
      <c r="BG60" s="6"/>
      <c r="BH60" s="6"/>
      <c r="BI60" s="6"/>
      <c r="BJ60" s="6"/>
      <c r="BK60" s="6"/>
      <c r="BL60" s="6"/>
      <c r="BM60" s="6"/>
      <c r="BN60" s="6"/>
      <c r="BO60" s="6"/>
      <c r="BP60" s="6"/>
      <c r="BQ60" s="6"/>
      <c r="BR60" s="6"/>
      <c r="BS60" s="6"/>
      <c r="BT60" s="6"/>
      <c r="BU60" s="6"/>
      <c r="BV60" s="6"/>
      <c r="BW60" s="6"/>
      <c r="BX60" s="6">
        <v>96198</v>
      </c>
      <c r="BY60" s="6"/>
      <c r="BZ60" s="6"/>
      <c r="CA60" s="6"/>
      <c r="CB60" s="6"/>
      <c r="CC60" s="6">
        <v>377903</v>
      </c>
      <c r="CD60" s="6">
        <v>115428</v>
      </c>
      <c r="CE60" s="6">
        <v>112569</v>
      </c>
      <c r="CF60" s="6">
        <v>337708</v>
      </c>
      <c r="CG60" s="6">
        <f t="shared" si="0"/>
        <v>4487958</v>
      </c>
      <c r="CI60" s="6">
        <v>112569</v>
      </c>
      <c r="CJ60" s="6">
        <v>391323</v>
      </c>
      <c r="CK60" s="6">
        <v>90879</v>
      </c>
      <c r="CL60" s="6">
        <v>126598</v>
      </c>
      <c r="CM60" s="6"/>
      <c r="CN60" s="6"/>
      <c r="CO60" s="6">
        <f>844268-DG60</f>
        <v>619130</v>
      </c>
      <c r="CP60" s="6">
        <v>224928</v>
      </c>
      <c r="CQ60" s="6">
        <v>4390191</v>
      </c>
      <c r="CR60" s="6"/>
      <c r="CS60" s="6"/>
      <c r="CT60" s="6"/>
      <c r="CU60" s="6"/>
      <c r="CV60" s="6"/>
      <c r="CW60" s="6"/>
      <c r="CX60" s="6">
        <v>0</v>
      </c>
      <c r="CY60" s="6"/>
      <c r="CZ60" s="6"/>
      <c r="DB60" s="6"/>
      <c r="DC60" s="6"/>
      <c r="DF60" s="6"/>
      <c r="DG60" s="6">
        <v>225138</v>
      </c>
      <c r="DH60" s="6"/>
      <c r="DI60" s="6"/>
      <c r="DJ60" s="6"/>
      <c r="DK60" s="6"/>
      <c r="DL60" s="6"/>
      <c r="DM60" s="6"/>
      <c r="DN60" s="6"/>
      <c r="DO60" s="6"/>
      <c r="DP60" s="6">
        <v>4375</v>
      </c>
      <c r="DU60" s="6">
        <f>VLOOKUP($A60,[3]Totals!$B$2:$K$119,10,FALSE)</f>
        <v>84520.98</v>
      </c>
      <c r="DV60" s="6">
        <f>VLOOKUP($A60,[3]Totals!$B$2:$K$119,9,FALSE)</f>
        <v>917558.5</v>
      </c>
    </row>
    <row r="61" spans="1:126" x14ac:dyDescent="0.2">
      <c r="A61" s="3">
        <v>262</v>
      </c>
      <c r="B61" s="2" t="s">
        <v>68</v>
      </c>
      <c r="C61" t="s">
        <v>7</v>
      </c>
      <c r="D61">
        <v>5</v>
      </c>
      <c r="E61" s="1">
        <v>358</v>
      </c>
      <c r="F61" s="4">
        <v>0.503</v>
      </c>
      <c r="G61">
        <v>180</v>
      </c>
      <c r="H61" s="6">
        <v>195277</v>
      </c>
      <c r="I61" s="6"/>
      <c r="J61" s="6"/>
      <c r="K61" s="6">
        <v>67876</v>
      </c>
      <c r="L61" s="6">
        <v>6086</v>
      </c>
      <c r="M61" s="6">
        <v>78183</v>
      </c>
      <c r="N61" s="6">
        <v>60194</v>
      </c>
      <c r="O61" s="6">
        <v>151785</v>
      </c>
      <c r="P61" s="6">
        <v>112569</v>
      </c>
      <c r="Q61" s="6">
        <v>112569</v>
      </c>
      <c r="R61" s="6">
        <v>337707</v>
      </c>
      <c r="S61" s="6">
        <v>112569</v>
      </c>
      <c r="T61" s="6">
        <v>187440</v>
      </c>
      <c r="U61" s="6"/>
      <c r="V61" s="6"/>
      <c r="W61" s="6"/>
      <c r="X61" s="6"/>
      <c r="Y61" s="6"/>
      <c r="Z61" s="6"/>
      <c r="AA61" s="6"/>
      <c r="AB61" s="6"/>
      <c r="AC61" s="6"/>
      <c r="AD61" s="6">
        <v>135180</v>
      </c>
      <c r="AE61" s="6">
        <v>112569</v>
      </c>
      <c r="AF61" s="6">
        <v>225138</v>
      </c>
      <c r="AG61" s="6">
        <v>675414</v>
      </c>
      <c r="AH61" s="6"/>
      <c r="AI61" s="6">
        <v>224928</v>
      </c>
      <c r="AJ61" s="6"/>
      <c r="AK61" s="6"/>
      <c r="AL61" s="6"/>
      <c r="AM61" s="6"/>
      <c r="AN61" s="6"/>
      <c r="AO61" s="6">
        <v>112569</v>
      </c>
      <c r="AP61" s="6"/>
      <c r="AQ61" s="6"/>
      <c r="AR61" s="6"/>
      <c r="AS61" s="6">
        <f>40800-20400</f>
        <v>20400</v>
      </c>
      <c r="AT61" s="6">
        <f>40800-20400</f>
        <v>20400</v>
      </c>
      <c r="AU61" s="6"/>
      <c r="AV61" s="6"/>
      <c r="AW61" s="6">
        <v>40800</v>
      </c>
      <c r="AX61" s="6"/>
      <c r="AY61" s="6"/>
      <c r="AZ61" s="6">
        <v>162330.84</v>
      </c>
      <c r="BA61" s="6"/>
      <c r="BB61" s="6"/>
      <c r="BC61" s="6"/>
      <c r="BD61" s="6"/>
      <c r="BE61" s="6"/>
      <c r="BF61" s="6"/>
      <c r="BG61" s="6"/>
      <c r="BH61" s="6"/>
      <c r="BI61" s="6"/>
      <c r="BJ61" s="6"/>
      <c r="BK61" s="6"/>
      <c r="BL61" s="6"/>
      <c r="BM61" s="6"/>
      <c r="BN61" s="6"/>
      <c r="BO61" s="6"/>
      <c r="BP61" s="6"/>
      <c r="BQ61" s="6"/>
      <c r="BR61" s="6"/>
      <c r="BS61" s="6"/>
      <c r="BT61" s="6"/>
      <c r="BU61" s="6"/>
      <c r="BV61" s="6"/>
      <c r="BW61" s="6"/>
      <c r="BX61" s="6">
        <v>455674</v>
      </c>
      <c r="BY61" s="6"/>
      <c r="BZ61" s="6"/>
      <c r="CA61" s="6"/>
      <c r="CB61" s="6"/>
      <c r="CC61" s="6"/>
      <c r="CD61" s="6"/>
      <c r="CE61" s="6"/>
      <c r="CF61" s="6">
        <v>10200</v>
      </c>
      <c r="CG61" s="6">
        <f t="shared" si="0"/>
        <v>3617857.84</v>
      </c>
      <c r="CI61" s="6">
        <v>112569</v>
      </c>
      <c r="CJ61" s="6">
        <v>140876</v>
      </c>
      <c r="CK61" s="6">
        <v>90879</v>
      </c>
      <c r="CL61" s="6"/>
      <c r="CM61" s="6"/>
      <c r="CN61" s="6"/>
      <c r="CO61" s="6">
        <v>337707</v>
      </c>
      <c r="CP61" s="6">
        <v>112464</v>
      </c>
      <c r="CQ61" s="6">
        <v>1688535</v>
      </c>
      <c r="CR61" s="6"/>
      <c r="CS61" s="6"/>
      <c r="CT61" s="6"/>
      <c r="CU61" s="6"/>
      <c r="CV61" s="6"/>
      <c r="CW61" s="6"/>
      <c r="CX61" s="6">
        <v>0</v>
      </c>
      <c r="CY61" s="6"/>
      <c r="CZ61" s="6"/>
      <c r="DB61" s="6"/>
      <c r="DC61" s="6"/>
      <c r="DF61" s="6"/>
      <c r="DG61" s="6"/>
      <c r="DH61" s="6"/>
      <c r="DI61" s="6"/>
      <c r="DJ61" s="6"/>
      <c r="DK61" s="6"/>
      <c r="DL61" s="6">
        <v>3602</v>
      </c>
      <c r="DM61" s="6"/>
      <c r="DN61" s="6"/>
      <c r="DO61" s="6"/>
      <c r="DP61" s="6">
        <v>13750</v>
      </c>
      <c r="DU61" s="6">
        <f>VLOOKUP($A61,[3]Totals!$B$2:$K$119,10,FALSE)</f>
        <v>164548.37</v>
      </c>
      <c r="DV61" s="6">
        <f>VLOOKUP($A61,[3]Totals!$B$2:$K$119,9,FALSE)</f>
        <v>385228</v>
      </c>
    </row>
    <row r="62" spans="1:126" x14ac:dyDescent="0.2">
      <c r="A62" s="3">
        <v>370</v>
      </c>
      <c r="B62" s="2" t="s">
        <v>67</v>
      </c>
      <c r="C62" t="s">
        <v>7</v>
      </c>
      <c r="D62">
        <v>5</v>
      </c>
      <c r="E62" s="1">
        <v>317</v>
      </c>
      <c r="F62" s="4">
        <v>0.53300000000000003</v>
      </c>
      <c r="G62">
        <v>169</v>
      </c>
      <c r="H62" s="6">
        <v>195277</v>
      </c>
      <c r="I62" s="6"/>
      <c r="J62" s="6"/>
      <c r="K62" s="6">
        <v>67876</v>
      </c>
      <c r="L62" s="6">
        <v>5258</v>
      </c>
      <c r="M62" s="6">
        <v>78183</v>
      </c>
      <c r="N62" s="6">
        <v>60194</v>
      </c>
      <c r="O62" s="6">
        <v>101190</v>
      </c>
      <c r="P62" s="6">
        <v>112569</v>
      </c>
      <c r="Q62" s="6">
        <v>225138</v>
      </c>
      <c r="R62" s="6">
        <v>112569</v>
      </c>
      <c r="S62" s="6">
        <v>337707</v>
      </c>
      <c r="T62" s="6">
        <v>224928</v>
      </c>
      <c r="U62" s="6"/>
      <c r="V62" s="6"/>
      <c r="W62" s="6"/>
      <c r="X62" s="6"/>
      <c r="Y62" s="6"/>
      <c r="Z62" s="6"/>
      <c r="AA62" s="6"/>
      <c r="AB62" s="6"/>
      <c r="AC62" s="6"/>
      <c r="AD62" s="6">
        <v>134915</v>
      </c>
      <c r="AE62" s="6">
        <v>112569</v>
      </c>
      <c r="AF62" s="6">
        <v>450276</v>
      </c>
      <c r="AG62" s="6">
        <v>1013121</v>
      </c>
      <c r="AH62" s="6"/>
      <c r="AI62" s="6">
        <v>299904</v>
      </c>
      <c r="AJ62" s="6"/>
      <c r="AK62" s="6">
        <v>110030</v>
      </c>
      <c r="AL62" s="6"/>
      <c r="AM62" s="6"/>
      <c r="AN62" s="6"/>
      <c r="AO62" s="6">
        <v>225138</v>
      </c>
      <c r="AP62" s="6"/>
      <c r="AQ62" s="6"/>
      <c r="AR62" s="6"/>
      <c r="AS62" s="6">
        <f>27200-13600</f>
        <v>13600</v>
      </c>
      <c r="AT62" s="6">
        <f>27200-13600</f>
        <v>13600</v>
      </c>
      <c r="AU62" s="6">
        <v>10200</v>
      </c>
      <c r="AV62" s="6"/>
      <c r="AW62" s="6">
        <v>27200</v>
      </c>
      <c r="AX62" s="6"/>
      <c r="AY62" s="6"/>
      <c r="AZ62" s="6">
        <v>250390.44500000001</v>
      </c>
      <c r="BA62" s="6"/>
      <c r="BB62" s="6"/>
      <c r="BC62" s="6">
        <v>112569</v>
      </c>
      <c r="BD62" s="6"/>
      <c r="BE62" s="6"/>
      <c r="BF62" s="6"/>
      <c r="BG62" s="6"/>
      <c r="BH62" s="6"/>
      <c r="BI62" s="6"/>
      <c r="BJ62" s="6"/>
      <c r="BK62" s="6"/>
      <c r="BL62" s="6"/>
      <c r="BM62" s="6"/>
      <c r="BN62" s="6"/>
      <c r="BO62" s="6"/>
      <c r="BP62" s="6"/>
      <c r="BQ62" s="6"/>
      <c r="BR62" s="6"/>
      <c r="BS62" s="6"/>
      <c r="BT62" s="6"/>
      <c r="BU62" s="6"/>
      <c r="BV62" s="6"/>
      <c r="BW62" s="6"/>
      <c r="BX62" s="6">
        <v>427827</v>
      </c>
      <c r="BY62" s="6"/>
      <c r="BZ62" s="6"/>
      <c r="CA62" s="6"/>
      <c r="CB62" s="6"/>
      <c r="CC62" s="6"/>
      <c r="CD62" s="6"/>
      <c r="CE62" s="6"/>
      <c r="CF62" s="6">
        <v>0</v>
      </c>
      <c r="CG62" s="6">
        <f t="shared" si="0"/>
        <v>4722228.4450000003</v>
      </c>
      <c r="CI62" s="6">
        <v>112569</v>
      </c>
      <c r="CJ62" s="6">
        <v>125223</v>
      </c>
      <c r="CK62" s="6">
        <v>90879</v>
      </c>
      <c r="CL62" s="6"/>
      <c r="CM62" s="6"/>
      <c r="CN62" s="6"/>
      <c r="CO62" s="6">
        <v>337707</v>
      </c>
      <c r="CP62" s="6">
        <v>74976</v>
      </c>
      <c r="CQ62" s="6">
        <v>1125690</v>
      </c>
      <c r="CR62" s="6"/>
      <c r="CS62" s="6"/>
      <c r="CT62" s="6"/>
      <c r="CU62" s="6"/>
      <c r="CV62" s="6"/>
      <c r="CW62" s="6"/>
      <c r="CX62" s="6">
        <v>0</v>
      </c>
      <c r="CY62" s="6"/>
      <c r="CZ62" s="6"/>
      <c r="DB62" s="6"/>
      <c r="DC62" s="6"/>
      <c r="DF62" s="6"/>
      <c r="DG62" s="6"/>
      <c r="DH62" s="6"/>
      <c r="DI62" s="6"/>
      <c r="DJ62" s="6"/>
      <c r="DK62" s="6"/>
      <c r="DL62" s="6">
        <v>3375</v>
      </c>
      <c r="DM62" s="6"/>
      <c r="DN62" s="6"/>
      <c r="DO62" s="6"/>
      <c r="DP62" s="6">
        <v>16900</v>
      </c>
      <c r="DU62" s="6">
        <f>VLOOKUP($A62,[3]Totals!$B$2:$K$119,10,FALSE)</f>
        <v>183831.97</v>
      </c>
      <c r="DV62" s="6">
        <f>VLOOKUP($A62,[3]Totals!$B$2:$K$119,9,FALSE)</f>
        <v>114138</v>
      </c>
    </row>
    <row r="63" spans="1:126" x14ac:dyDescent="0.2">
      <c r="A63" s="3">
        <v>264</v>
      </c>
      <c r="B63" s="2" t="s">
        <v>66</v>
      </c>
      <c r="C63" t="s">
        <v>4</v>
      </c>
      <c r="D63">
        <v>4</v>
      </c>
      <c r="E63" s="1">
        <v>252</v>
      </c>
      <c r="F63" s="4">
        <v>0.47599999999999998</v>
      </c>
      <c r="G63">
        <v>120</v>
      </c>
      <c r="H63" s="6">
        <v>195277</v>
      </c>
      <c r="I63" s="6"/>
      <c r="J63" s="6"/>
      <c r="K63" s="6">
        <v>67876</v>
      </c>
      <c r="L63" s="6">
        <v>4441</v>
      </c>
      <c r="M63" s="6">
        <v>78183</v>
      </c>
      <c r="N63" s="6">
        <v>60194</v>
      </c>
      <c r="O63" s="6">
        <v>50595</v>
      </c>
      <c r="P63" s="6">
        <f>91547+15105+5917.07</f>
        <v>112569.07</v>
      </c>
      <c r="Q63" s="6">
        <v>112569</v>
      </c>
      <c r="R63" s="6">
        <v>225138</v>
      </c>
      <c r="S63" s="6">
        <v>112569</v>
      </c>
      <c r="T63" s="6">
        <v>149952</v>
      </c>
      <c r="U63" s="6"/>
      <c r="V63" s="6"/>
      <c r="W63" s="6"/>
      <c r="X63" s="6"/>
      <c r="Y63" s="6"/>
      <c r="Z63" s="6"/>
      <c r="AA63" s="6"/>
      <c r="AB63" s="6"/>
      <c r="AC63" s="6"/>
      <c r="AD63" s="6">
        <v>120045</v>
      </c>
      <c r="AE63" s="6">
        <v>112569</v>
      </c>
      <c r="AF63" s="6">
        <v>337707</v>
      </c>
      <c r="AG63" s="6">
        <v>675414</v>
      </c>
      <c r="AH63" s="6"/>
      <c r="AI63" s="6">
        <v>74976</v>
      </c>
      <c r="AJ63" s="6"/>
      <c r="AK63" s="6">
        <v>110030</v>
      </c>
      <c r="AL63" s="6"/>
      <c r="AM63" s="6"/>
      <c r="AN63" s="6"/>
      <c r="AO63" s="6">
        <v>787983</v>
      </c>
      <c r="AP63" s="6"/>
      <c r="AQ63" s="6"/>
      <c r="AR63" s="6"/>
      <c r="AS63" s="6">
        <f>34000-20400</f>
        <v>13600</v>
      </c>
      <c r="AT63" s="6">
        <f>34000-20400</f>
        <v>13600</v>
      </c>
      <c r="AU63" s="6">
        <v>10200</v>
      </c>
      <c r="AV63" s="6"/>
      <c r="AW63" s="6">
        <v>40800</v>
      </c>
      <c r="AX63" s="6"/>
      <c r="AY63" s="6"/>
      <c r="AZ63" s="6">
        <v>114263.54000000001</v>
      </c>
      <c r="BA63" s="6"/>
      <c r="BB63" s="6"/>
      <c r="BC63" s="6"/>
      <c r="BD63" s="6"/>
      <c r="BE63" s="6"/>
      <c r="BF63" s="6"/>
      <c r="BG63" s="6"/>
      <c r="BH63" s="6"/>
      <c r="BI63" s="6"/>
      <c r="BJ63" s="6"/>
      <c r="BK63" s="6"/>
      <c r="BL63" s="6"/>
      <c r="BM63" s="6"/>
      <c r="BN63" s="6"/>
      <c r="BO63" s="6"/>
      <c r="BP63" s="6"/>
      <c r="BQ63" s="6"/>
      <c r="BR63" s="6"/>
      <c r="BS63" s="6"/>
      <c r="BT63" s="6"/>
      <c r="BU63" s="6"/>
      <c r="BV63" s="6"/>
      <c r="BW63" s="6"/>
      <c r="BX63" s="6">
        <v>303782</v>
      </c>
      <c r="BY63" s="6"/>
      <c r="BZ63" s="6"/>
      <c r="CA63" s="6"/>
      <c r="CB63" s="6"/>
      <c r="CC63" s="6">
        <v>1190574</v>
      </c>
      <c r="CD63" s="6"/>
      <c r="CE63" s="6"/>
      <c r="CF63" s="6">
        <v>0</v>
      </c>
      <c r="CG63" s="6">
        <f t="shared" si="0"/>
        <v>5074906.6100000003</v>
      </c>
      <c r="CI63" s="6">
        <v>112569</v>
      </c>
      <c r="CJ63" s="6"/>
      <c r="CK63" s="6">
        <v>45440</v>
      </c>
      <c r="CL63" s="6"/>
      <c r="CM63" s="6"/>
      <c r="CN63" s="6"/>
      <c r="CO63" s="6">
        <v>337707</v>
      </c>
      <c r="CP63" s="6">
        <v>74976</v>
      </c>
      <c r="CQ63" s="6">
        <v>1350828</v>
      </c>
      <c r="CR63" s="6"/>
      <c r="CS63" s="6"/>
      <c r="CT63" s="6"/>
      <c r="CU63" s="6"/>
      <c r="CV63" s="6"/>
      <c r="CW63" s="6"/>
      <c r="CX63" s="6">
        <v>0</v>
      </c>
      <c r="CY63" s="6"/>
      <c r="CZ63" s="6"/>
      <c r="DB63" s="6">
        <v>112569</v>
      </c>
      <c r="DC63" s="6"/>
      <c r="DF63" s="6"/>
      <c r="DG63" s="6"/>
      <c r="DH63" s="6"/>
      <c r="DI63" s="6"/>
      <c r="DJ63" s="6"/>
      <c r="DK63" s="6"/>
      <c r="DL63" s="6">
        <v>2407</v>
      </c>
      <c r="DM63" s="6"/>
      <c r="DN63" s="6"/>
      <c r="DO63" s="6"/>
      <c r="DP63" s="6">
        <v>24475</v>
      </c>
      <c r="DU63" s="6">
        <f>VLOOKUP($A63,[3]Totals!$B$2:$K$119,10,FALSE)</f>
        <v>86818.25</v>
      </c>
      <c r="DV63" s="6">
        <f>VLOOKUP($A63,[3]Totals!$B$2:$K$119,9,FALSE)</f>
        <v>295643</v>
      </c>
    </row>
    <row r="64" spans="1:126" x14ac:dyDescent="0.2">
      <c r="A64" s="3">
        <v>266</v>
      </c>
      <c r="B64" s="2" t="s">
        <v>65</v>
      </c>
      <c r="C64" t="s">
        <v>4</v>
      </c>
      <c r="D64">
        <v>8</v>
      </c>
      <c r="E64" s="1">
        <v>487</v>
      </c>
      <c r="F64" s="4">
        <v>0.52400000000000002</v>
      </c>
      <c r="G64">
        <v>255</v>
      </c>
      <c r="H64" s="6">
        <v>195277</v>
      </c>
      <c r="I64" s="6">
        <v>112569</v>
      </c>
      <c r="J64" s="6"/>
      <c r="K64" s="6">
        <v>67876</v>
      </c>
      <c r="L64" s="6">
        <v>5185</v>
      </c>
      <c r="M64" s="6">
        <v>78183</v>
      </c>
      <c r="N64" s="6">
        <v>60194</v>
      </c>
      <c r="O64" s="6">
        <v>101190</v>
      </c>
      <c r="P64" s="6">
        <v>112569</v>
      </c>
      <c r="Q64" s="6">
        <v>337707</v>
      </c>
      <c r="R64" s="6"/>
      <c r="S64" s="6">
        <v>337707</v>
      </c>
      <c r="T64" s="6">
        <v>224928</v>
      </c>
      <c r="U64" s="6"/>
      <c r="V64" s="6"/>
      <c r="W64" s="6"/>
      <c r="X64" s="6"/>
      <c r="Y64" s="6"/>
      <c r="Z64" s="6"/>
      <c r="AA64" s="6"/>
      <c r="AB64" s="6"/>
      <c r="AC64" s="6"/>
      <c r="AD64" s="6">
        <v>175957</v>
      </c>
      <c r="AE64" s="6">
        <v>112569</v>
      </c>
      <c r="AF64" s="6">
        <v>225138</v>
      </c>
      <c r="AG64" s="6">
        <v>900552</v>
      </c>
      <c r="AH64" s="6"/>
      <c r="AI64" s="6">
        <v>74976</v>
      </c>
      <c r="AJ64" s="6"/>
      <c r="AK64" s="6"/>
      <c r="AL64" s="6"/>
      <c r="AM64" s="6"/>
      <c r="AN64" s="6"/>
      <c r="AO64" s="6">
        <v>112569</v>
      </c>
      <c r="AP64" s="6"/>
      <c r="AQ64" s="6"/>
      <c r="AR64" s="6"/>
      <c r="AS64" s="6">
        <f>54400-27200</f>
        <v>27200</v>
      </c>
      <c r="AT64" s="6">
        <f>54400-27200</f>
        <v>27200</v>
      </c>
      <c r="AU64" s="6">
        <v>10200</v>
      </c>
      <c r="AV64" s="6"/>
      <c r="AW64" s="6">
        <v>54400</v>
      </c>
      <c r="AX64" s="6"/>
      <c r="AY64" s="6"/>
      <c r="AZ64" s="6">
        <v>220820.83000000002</v>
      </c>
      <c r="BA64" s="6"/>
      <c r="BB64" s="6"/>
      <c r="BC64" s="6"/>
      <c r="BD64" s="6"/>
      <c r="BE64" s="6"/>
      <c r="BF64" s="6"/>
      <c r="BG64" s="6"/>
      <c r="BH64" s="6"/>
      <c r="BI64" s="6"/>
      <c r="BJ64" s="6"/>
      <c r="BK64" s="6"/>
      <c r="BL64" s="6"/>
      <c r="BM64" s="6"/>
      <c r="BN64" s="6"/>
      <c r="BO64" s="6"/>
      <c r="BP64" s="6"/>
      <c r="BQ64" s="6"/>
      <c r="BR64" s="6"/>
      <c r="BS64" s="6"/>
      <c r="BT64" s="6"/>
      <c r="BU64" s="6"/>
      <c r="BV64" s="6"/>
      <c r="BW64" s="6"/>
      <c r="BX64" s="6">
        <v>645538</v>
      </c>
      <c r="BY64" s="6"/>
      <c r="BZ64" s="6"/>
      <c r="CA64" s="6"/>
      <c r="CB64" s="6"/>
      <c r="CC64" s="6">
        <v>13714</v>
      </c>
      <c r="CD64" s="6"/>
      <c r="CE64" s="6"/>
      <c r="CF64" s="6">
        <v>156529</v>
      </c>
      <c r="CG64" s="6">
        <f t="shared" si="0"/>
        <v>4390747.83</v>
      </c>
      <c r="CI64" s="6">
        <v>112569</v>
      </c>
      <c r="CJ64" s="6">
        <v>203488</v>
      </c>
      <c r="CK64" s="6">
        <v>90879</v>
      </c>
      <c r="CL64" s="6">
        <v>60767</v>
      </c>
      <c r="CM64" s="6"/>
      <c r="CN64" s="6"/>
      <c r="CO64" s="6">
        <v>337707</v>
      </c>
      <c r="CP64" s="6">
        <v>112464</v>
      </c>
      <c r="CQ64" s="6">
        <v>2206352</v>
      </c>
      <c r="CR64" s="6">
        <v>225138</v>
      </c>
      <c r="CS64" s="6">
        <v>23000</v>
      </c>
      <c r="CT64" s="6"/>
      <c r="CU64" s="6">
        <v>100000</v>
      </c>
      <c r="CV64" s="6"/>
      <c r="CW64" s="6"/>
      <c r="CX64" s="6">
        <v>0</v>
      </c>
      <c r="CY64" s="6"/>
      <c r="CZ64" s="6"/>
      <c r="DB64" s="6"/>
      <c r="DC64" s="6"/>
      <c r="DF64" s="6"/>
      <c r="DG64" s="6"/>
      <c r="DH64" s="6"/>
      <c r="DI64" s="6"/>
      <c r="DJ64" s="6"/>
      <c r="DK64" s="6"/>
      <c r="DL64" s="6">
        <v>5105</v>
      </c>
      <c r="DM64" s="6"/>
      <c r="DN64" s="6"/>
      <c r="DO64" s="6"/>
      <c r="DP64" s="6">
        <v>44625</v>
      </c>
      <c r="DU64" s="6">
        <f>VLOOKUP($A64,[3]Totals!$B$2:$K$119,10,FALSE)</f>
        <v>157992.4</v>
      </c>
      <c r="DV64" s="6">
        <f>VLOOKUP($A64,[3]Totals!$B$2:$K$119,9,FALSE)</f>
        <v>90879</v>
      </c>
    </row>
    <row r="65" spans="1:126" x14ac:dyDescent="0.2">
      <c r="A65" s="3">
        <v>271</v>
      </c>
      <c r="B65" s="2" t="s">
        <v>64</v>
      </c>
      <c r="C65" t="s">
        <v>7</v>
      </c>
      <c r="D65">
        <v>6</v>
      </c>
      <c r="E65" s="1">
        <v>449</v>
      </c>
      <c r="F65" s="4">
        <v>0.23799999999999999</v>
      </c>
      <c r="G65">
        <v>107</v>
      </c>
      <c r="H65" s="6">
        <v>195277</v>
      </c>
      <c r="I65" s="6"/>
      <c r="J65" s="6"/>
      <c r="K65" s="6">
        <v>67876</v>
      </c>
      <c r="L65" s="6">
        <v>5502</v>
      </c>
      <c r="M65" s="6">
        <v>78183</v>
      </c>
      <c r="N65" s="6">
        <v>60194</v>
      </c>
      <c r="O65" s="6">
        <v>101190</v>
      </c>
      <c r="P65" s="6">
        <v>112569</v>
      </c>
      <c r="Q65" s="6">
        <v>337707</v>
      </c>
      <c r="R65" s="6"/>
      <c r="S65" s="6">
        <v>337707</v>
      </c>
      <c r="T65" s="6">
        <v>224928</v>
      </c>
      <c r="U65" s="6"/>
      <c r="V65" s="6"/>
      <c r="W65" s="6"/>
      <c r="X65" s="6"/>
      <c r="Y65" s="6"/>
      <c r="Z65" s="6"/>
      <c r="AA65" s="6"/>
      <c r="AB65" s="6"/>
      <c r="AC65" s="6"/>
      <c r="AD65" s="6">
        <v>159214</v>
      </c>
      <c r="AE65" s="6">
        <v>112569</v>
      </c>
      <c r="AF65" s="6">
        <v>112569</v>
      </c>
      <c r="AG65" s="6">
        <v>787983</v>
      </c>
      <c r="AH65" s="6"/>
      <c r="AI65" s="6">
        <v>224928</v>
      </c>
      <c r="AJ65" s="6"/>
      <c r="AK65" s="6"/>
      <c r="AL65" s="6"/>
      <c r="AM65" s="6"/>
      <c r="AN65" s="6"/>
      <c r="AO65" s="6">
        <v>112569</v>
      </c>
      <c r="AP65" s="6"/>
      <c r="AQ65" s="6"/>
      <c r="AR65" s="6"/>
      <c r="AS65" s="6"/>
      <c r="AT65" s="6"/>
      <c r="AU65" s="6"/>
      <c r="AV65" s="6"/>
      <c r="AW65" s="6">
        <v>0</v>
      </c>
      <c r="AX65" s="6"/>
      <c r="AY65" s="6"/>
      <c r="AZ65" s="6">
        <v>0</v>
      </c>
      <c r="BA65" s="6"/>
      <c r="BB65" s="6">
        <v>11225</v>
      </c>
      <c r="BC65" s="6"/>
      <c r="BD65" s="6"/>
      <c r="BE65" s="6"/>
      <c r="BF65" s="6"/>
      <c r="BG65" s="6"/>
      <c r="BH65" s="6"/>
      <c r="BI65" s="6"/>
      <c r="BJ65" s="6"/>
      <c r="BK65" s="6"/>
      <c r="BL65" s="6"/>
      <c r="BM65" s="6"/>
      <c r="BN65" s="6"/>
      <c r="BO65" s="6"/>
      <c r="BP65" s="6"/>
      <c r="BQ65" s="6"/>
      <c r="BR65" s="6"/>
      <c r="BS65" s="6"/>
      <c r="BT65" s="6"/>
      <c r="BU65" s="6"/>
      <c r="BV65" s="6"/>
      <c r="BW65" s="6"/>
      <c r="BX65" s="6">
        <v>270872.92</v>
      </c>
      <c r="BY65" s="6"/>
      <c r="BZ65" s="6"/>
      <c r="CA65" s="6"/>
      <c r="CB65" s="6"/>
      <c r="CC65" s="6"/>
      <c r="CD65" s="6"/>
      <c r="CE65" s="6"/>
      <c r="CF65" s="6">
        <v>112570</v>
      </c>
      <c r="CG65" s="6">
        <f t="shared" si="0"/>
        <v>3425632.92</v>
      </c>
      <c r="CI65" s="6">
        <v>112569</v>
      </c>
      <c r="CJ65" s="6">
        <v>172182</v>
      </c>
      <c r="CK65" s="6">
        <v>90879</v>
      </c>
      <c r="CL65" s="6">
        <v>55703</v>
      </c>
      <c r="CM65" s="6"/>
      <c r="CN65" s="6"/>
      <c r="CO65" s="6">
        <v>506561</v>
      </c>
      <c r="CP65" s="6">
        <v>112464</v>
      </c>
      <c r="CQ65" s="6">
        <v>2026242</v>
      </c>
      <c r="CR65" s="6"/>
      <c r="CS65" s="6"/>
      <c r="CT65" s="6"/>
      <c r="CU65" s="6"/>
      <c r="CV65" s="6"/>
      <c r="CW65" s="6"/>
      <c r="CX65" s="6">
        <v>0</v>
      </c>
      <c r="CY65" s="6"/>
      <c r="CZ65" s="6"/>
      <c r="DB65" s="6"/>
      <c r="DC65" s="6"/>
      <c r="DF65" s="6"/>
      <c r="DG65" s="6"/>
      <c r="DH65" s="6"/>
      <c r="DI65" s="6"/>
      <c r="DJ65" s="6"/>
      <c r="DK65" s="6"/>
      <c r="DL65" s="6"/>
      <c r="DM65" s="6"/>
      <c r="DN65" s="6"/>
      <c r="DO65" s="6"/>
      <c r="DP65" s="6">
        <v>4725</v>
      </c>
      <c r="DU65" s="6">
        <f>VLOOKUP($A65,[3]Totals!$B$2:$K$119,10,FALSE)</f>
        <v>118061.5</v>
      </c>
      <c r="DV65" s="6">
        <f>VLOOKUP($A65,[3]Totals!$B$2:$K$119,9,FALSE)</f>
        <v>299354</v>
      </c>
    </row>
    <row r="66" spans="1:126" x14ac:dyDescent="0.2">
      <c r="A66" s="3">
        <v>884</v>
      </c>
      <c r="B66" s="2" t="s">
        <v>63</v>
      </c>
      <c r="C66" t="s">
        <v>1</v>
      </c>
      <c r="D66">
        <v>5</v>
      </c>
      <c r="E66" s="1">
        <v>204</v>
      </c>
      <c r="F66" s="4">
        <v>0</v>
      </c>
      <c r="G66">
        <v>0</v>
      </c>
      <c r="H66" s="6">
        <v>195277</v>
      </c>
      <c r="I66" s="6"/>
      <c r="J66" s="6">
        <v>127248</v>
      </c>
      <c r="K66" s="6">
        <v>67876</v>
      </c>
      <c r="L66" s="6">
        <v>3577</v>
      </c>
      <c r="M66" s="6">
        <v>78183</v>
      </c>
      <c r="N66" s="6">
        <v>60194</v>
      </c>
      <c r="O66" s="6">
        <v>50595</v>
      </c>
      <c r="P66" s="6">
        <f>91547+15105+5917.07</f>
        <v>112569.07</v>
      </c>
      <c r="Q66" s="6"/>
      <c r="R66" s="6"/>
      <c r="S66" s="6"/>
      <c r="T66" s="6"/>
      <c r="U66" s="6"/>
      <c r="V66" s="6"/>
      <c r="W66" s="6"/>
      <c r="X66" s="6"/>
      <c r="Y66" s="6"/>
      <c r="Z66" s="6"/>
      <c r="AA66" s="6"/>
      <c r="AB66" s="6"/>
      <c r="AC66" s="6"/>
      <c r="AD66" s="6">
        <v>101541</v>
      </c>
      <c r="AE66" s="6">
        <v>112569</v>
      </c>
      <c r="AF66" s="6">
        <v>112569</v>
      </c>
      <c r="AG66" s="6">
        <v>1125690</v>
      </c>
      <c r="AH66" s="6"/>
      <c r="AI66" s="6">
        <v>74976</v>
      </c>
      <c r="AJ66" s="6"/>
      <c r="AK66" s="6">
        <v>55015</v>
      </c>
      <c r="AL66" s="6"/>
      <c r="AM66" s="6"/>
      <c r="AN66" s="6"/>
      <c r="AO66" s="6"/>
      <c r="AP66" s="6">
        <v>20262</v>
      </c>
      <c r="AQ66" s="6"/>
      <c r="AR66" s="6"/>
      <c r="AS66" s="6"/>
      <c r="AT66" s="6"/>
      <c r="AU66" s="6"/>
      <c r="AV66" s="6">
        <v>70000</v>
      </c>
      <c r="AW66" s="6">
        <v>0</v>
      </c>
      <c r="AX66" s="6"/>
      <c r="AY66" s="6"/>
      <c r="AZ66" s="6">
        <v>64992.369999999995</v>
      </c>
      <c r="BA66" s="6"/>
      <c r="BB66" s="6"/>
      <c r="BC66" s="6"/>
      <c r="BD66" s="6"/>
      <c r="BE66" s="6"/>
      <c r="BF66" s="6"/>
      <c r="BG66" s="6"/>
      <c r="BH66" s="6"/>
      <c r="BI66" s="6"/>
      <c r="BJ66" s="6"/>
      <c r="BK66" s="6"/>
      <c r="BL66" s="6"/>
      <c r="BM66" s="6"/>
      <c r="BN66" s="6"/>
      <c r="BO66" s="6"/>
      <c r="BP66" s="6"/>
      <c r="BQ66" s="6"/>
      <c r="BR66" s="6"/>
      <c r="BS66" s="6"/>
      <c r="BT66" s="6"/>
      <c r="BU66" s="6"/>
      <c r="BV66" s="6"/>
      <c r="BW66" s="6"/>
      <c r="BX66" s="6">
        <v>0</v>
      </c>
      <c r="BY66" s="6"/>
      <c r="BZ66" s="6"/>
      <c r="CA66" s="6"/>
      <c r="CB66" s="6"/>
      <c r="CC66" s="6">
        <v>447671</v>
      </c>
      <c r="CD66" s="6"/>
      <c r="CE66" s="6">
        <v>112569</v>
      </c>
      <c r="CF66" s="6">
        <v>112569</v>
      </c>
      <c r="CG66" s="6">
        <f t="shared" si="0"/>
        <v>3105942.4400000004</v>
      </c>
      <c r="CI66" s="6">
        <v>112569</v>
      </c>
      <c r="CJ66" s="6">
        <v>109570</v>
      </c>
      <c r="CK66" s="6">
        <v>45440</v>
      </c>
      <c r="CL66" s="6"/>
      <c r="CM66" s="6">
        <v>56854</v>
      </c>
      <c r="CN66" s="6">
        <v>69509</v>
      </c>
      <c r="CO66" s="6"/>
      <c r="CP66" s="6"/>
      <c r="CQ66" s="6">
        <v>956837</v>
      </c>
      <c r="CR66" s="6"/>
      <c r="CS66" s="6"/>
      <c r="CT66" s="6"/>
      <c r="CU66" s="6"/>
      <c r="CV66" s="6"/>
      <c r="CW66" s="6"/>
      <c r="CX66" s="6">
        <v>0</v>
      </c>
      <c r="CY66" s="6"/>
      <c r="CZ66" s="6"/>
      <c r="DB66" s="6"/>
      <c r="DC66" s="6"/>
      <c r="DF66" s="6"/>
      <c r="DG66" s="6"/>
      <c r="DH66" s="6">
        <f>'[2]pdf DetailxSch Pos'!AE65*'[2]pdf DetailxSch Pos'!AE$122</f>
        <v>0</v>
      </c>
      <c r="DI66" s="6"/>
      <c r="DJ66" s="6"/>
      <c r="DK66" s="6"/>
      <c r="DL66" s="6"/>
      <c r="DM66" s="6">
        <v>4950</v>
      </c>
      <c r="DN66" s="6">
        <v>117087</v>
      </c>
      <c r="DO66" s="6">
        <v>150000</v>
      </c>
      <c r="DP66" s="6"/>
      <c r="DU66" s="6">
        <f>VLOOKUP($A66,[3]Totals!$B$2:$K$119,10,FALSE)</f>
        <v>95630.37</v>
      </c>
      <c r="DV66" s="6">
        <f>VLOOKUP($A66,[3]Totals!$B$2:$K$119,9,FALSE)</f>
        <v>0</v>
      </c>
    </row>
    <row r="67" spans="1:126" x14ac:dyDescent="0.2">
      <c r="A67" s="3">
        <v>420</v>
      </c>
      <c r="B67" s="2" t="s">
        <v>62</v>
      </c>
      <c r="C67" t="s">
        <v>19</v>
      </c>
      <c r="D67">
        <v>4</v>
      </c>
      <c r="E67" s="1">
        <v>641</v>
      </c>
      <c r="F67" s="4">
        <v>0.40600000000000003</v>
      </c>
      <c r="G67">
        <v>260</v>
      </c>
      <c r="H67" s="6">
        <v>195277</v>
      </c>
      <c r="I67" s="6">
        <v>180110</v>
      </c>
      <c r="J67" s="6"/>
      <c r="K67" s="6">
        <v>67876</v>
      </c>
      <c r="L67" s="6">
        <v>8431</v>
      </c>
      <c r="M67" s="6">
        <v>78183</v>
      </c>
      <c r="N67" s="6">
        <v>60194</v>
      </c>
      <c r="O67" s="6">
        <v>202380</v>
      </c>
      <c r="P67" s="6">
        <v>112569</v>
      </c>
      <c r="Q67" s="6"/>
      <c r="R67" s="6"/>
      <c r="S67" s="6"/>
      <c r="T67" s="6"/>
      <c r="U67" s="6"/>
      <c r="V67" s="6"/>
      <c r="W67" s="6"/>
      <c r="X67" s="6"/>
      <c r="Y67" s="6"/>
      <c r="Z67" s="6"/>
      <c r="AA67" s="6"/>
      <c r="AB67" s="6"/>
      <c r="AC67" s="6"/>
      <c r="AD67" s="6">
        <v>249185</v>
      </c>
      <c r="AE67" s="6">
        <v>112569</v>
      </c>
      <c r="AF67" s="6">
        <v>337707</v>
      </c>
      <c r="AG67" s="6">
        <v>1463397</v>
      </c>
      <c r="AH67" s="6"/>
      <c r="AI67" s="6">
        <v>74976</v>
      </c>
      <c r="AJ67" s="6"/>
      <c r="AK67" s="6">
        <v>55015</v>
      </c>
      <c r="AL67" s="6"/>
      <c r="AM67" s="6"/>
      <c r="AN67" s="6"/>
      <c r="AO67" s="6">
        <v>1463397</v>
      </c>
      <c r="AP67" s="6"/>
      <c r="AQ67" s="6"/>
      <c r="AR67" s="6"/>
      <c r="AS67" s="6"/>
      <c r="AT67" s="6"/>
      <c r="AU67" s="6"/>
      <c r="AV67" s="6"/>
      <c r="AW67" s="6">
        <v>0</v>
      </c>
      <c r="AX67" s="6"/>
      <c r="AY67" s="6"/>
      <c r="AZ67" s="6">
        <v>290650.59999999998</v>
      </c>
      <c r="BA67" s="6"/>
      <c r="BB67" s="6"/>
      <c r="BC67" s="6"/>
      <c r="BD67" s="6"/>
      <c r="BE67" s="6"/>
      <c r="BF67" s="6"/>
      <c r="BG67" s="6"/>
      <c r="BH67" s="6"/>
      <c r="BI67" s="6"/>
      <c r="BJ67" s="6">
        <v>117087</v>
      </c>
      <c r="BK67" s="6"/>
      <c r="BL67" s="6"/>
      <c r="BM67" s="6"/>
      <c r="BN67" s="6"/>
      <c r="BO67" s="6"/>
      <c r="BP67" s="6"/>
      <c r="BQ67" s="6"/>
      <c r="BR67" s="6"/>
      <c r="BS67" s="6"/>
      <c r="BT67" s="6"/>
      <c r="BU67" s="6"/>
      <c r="BV67" s="6"/>
      <c r="BW67" s="6"/>
      <c r="BX67" s="6">
        <v>658195</v>
      </c>
      <c r="BY67" s="6"/>
      <c r="BZ67" s="6"/>
      <c r="CA67" s="6"/>
      <c r="CB67" s="6"/>
      <c r="CC67" s="6">
        <v>224659</v>
      </c>
      <c r="CD67" s="6"/>
      <c r="CE67" s="6"/>
      <c r="CF67" s="6">
        <v>0</v>
      </c>
      <c r="CG67" s="6">
        <f t="shared" si="0"/>
        <v>5951857.5999999996</v>
      </c>
      <c r="CI67" s="6">
        <v>112569</v>
      </c>
      <c r="CJ67" s="6">
        <v>328711</v>
      </c>
      <c r="CK67" s="6">
        <v>90879</v>
      </c>
      <c r="CL67" s="6">
        <v>81022</v>
      </c>
      <c r="CM67" s="6"/>
      <c r="CN67" s="6"/>
      <c r="CO67" s="6"/>
      <c r="CP67" s="6"/>
      <c r="CQ67" s="6">
        <v>3287015</v>
      </c>
      <c r="CR67" s="6">
        <v>337707</v>
      </c>
      <c r="CS67" s="6">
        <v>23000</v>
      </c>
      <c r="CT67" s="6">
        <v>5000</v>
      </c>
      <c r="CU67" s="6">
        <v>100000</v>
      </c>
      <c r="CV67" s="6"/>
      <c r="CW67" s="6"/>
      <c r="CX67" s="6">
        <v>0</v>
      </c>
      <c r="CY67" s="6"/>
      <c r="CZ67" s="6"/>
      <c r="DB67" s="6">
        <v>337707</v>
      </c>
      <c r="DC67" s="6"/>
      <c r="DF67" s="6"/>
      <c r="DG67" s="6"/>
      <c r="DH67" s="6"/>
      <c r="DI67" s="6"/>
      <c r="DJ67" s="6"/>
      <c r="DK67" s="6"/>
      <c r="DL67" s="6">
        <v>5200</v>
      </c>
      <c r="DM67" s="6"/>
      <c r="DN67" s="6"/>
      <c r="DO67" s="6"/>
      <c r="DP67" s="6">
        <v>54600</v>
      </c>
      <c r="DU67" s="6">
        <f>VLOOKUP($A67,[3]Totals!$B$2:$K$119,10,FALSE)</f>
        <v>227737.43</v>
      </c>
      <c r="DV67" s="6">
        <f>VLOOKUP($A67,[3]Totals!$B$2:$K$119,9,FALSE)</f>
        <v>359742</v>
      </c>
    </row>
    <row r="68" spans="1:126" x14ac:dyDescent="0.2">
      <c r="A68" s="3">
        <v>308</v>
      </c>
      <c r="B68" s="2" t="s">
        <v>61</v>
      </c>
      <c r="C68" t="s">
        <v>7</v>
      </c>
      <c r="D68">
        <v>8</v>
      </c>
      <c r="E68" s="1">
        <v>233</v>
      </c>
      <c r="F68" s="4">
        <v>0.81100000000000005</v>
      </c>
      <c r="G68">
        <v>189</v>
      </c>
      <c r="H68" s="6">
        <v>195277</v>
      </c>
      <c r="I68" s="6"/>
      <c r="J68" s="6"/>
      <c r="K68" s="6">
        <v>67876</v>
      </c>
      <c r="L68" s="6">
        <v>4197</v>
      </c>
      <c r="M68" s="6">
        <v>78183</v>
      </c>
      <c r="N68" s="6">
        <v>60194</v>
      </c>
      <c r="O68" s="6">
        <v>50595</v>
      </c>
      <c r="P68" s="6">
        <f>91547+15105+5917.07</f>
        <v>112569.07</v>
      </c>
      <c r="Q68" s="6">
        <v>225138</v>
      </c>
      <c r="R68" s="6"/>
      <c r="S68" s="6">
        <v>225138</v>
      </c>
      <c r="T68" s="6">
        <v>149952</v>
      </c>
      <c r="U68" s="6"/>
      <c r="V68" s="6"/>
      <c r="W68" s="6"/>
      <c r="X68" s="6"/>
      <c r="Y68" s="6"/>
      <c r="Z68" s="6"/>
      <c r="AA68" s="6"/>
      <c r="AB68" s="6"/>
      <c r="AC68" s="6"/>
      <c r="AD68" s="6">
        <v>97503</v>
      </c>
      <c r="AE68" s="6">
        <v>112569</v>
      </c>
      <c r="AF68" s="6">
        <v>337707</v>
      </c>
      <c r="AG68" s="6">
        <v>562845</v>
      </c>
      <c r="AH68" s="6"/>
      <c r="AI68" s="6">
        <v>74976</v>
      </c>
      <c r="AJ68" s="6"/>
      <c r="AK68" s="6">
        <v>110030</v>
      </c>
      <c r="AL68" s="6"/>
      <c r="AM68" s="6"/>
      <c r="AN68" s="6"/>
      <c r="AO68" s="6"/>
      <c r="AP68" s="6">
        <v>5628</v>
      </c>
      <c r="AQ68" s="6"/>
      <c r="AR68" s="6"/>
      <c r="AS68" s="6">
        <f>34000-20400</f>
        <v>13600</v>
      </c>
      <c r="AT68" s="6">
        <f>34000-20400</f>
        <v>13600</v>
      </c>
      <c r="AU68" s="6">
        <v>10200</v>
      </c>
      <c r="AV68" s="6"/>
      <c r="AW68" s="6">
        <v>40800</v>
      </c>
      <c r="AX68" s="6"/>
      <c r="AY68" s="6"/>
      <c r="AZ68" s="6">
        <v>105648.64000000001</v>
      </c>
      <c r="BA68" s="6"/>
      <c r="BB68" s="6"/>
      <c r="BC68" s="6"/>
      <c r="BD68" s="6"/>
      <c r="BE68" s="6"/>
      <c r="BF68" s="6"/>
      <c r="BG68" s="6"/>
      <c r="BH68" s="6"/>
      <c r="BI68" s="6"/>
      <c r="BJ68" s="6"/>
      <c r="BK68" s="6"/>
      <c r="BL68" s="6"/>
      <c r="BM68" s="6"/>
      <c r="BN68" s="6"/>
      <c r="BO68" s="6"/>
      <c r="BP68" s="6"/>
      <c r="BQ68" s="6"/>
      <c r="BR68" s="6">
        <v>13859</v>
      </c>
      <c r="BS68" s="6"/>
      <c r="BT68" s="6"/>
      <c r="BU68" s="6"/>
      <c r="BV68" s="6"/>
      <c r="BW68" s="6"/>
      <c r="BX68" s="6">
        <v>478457.41500000004</v>
      </c>
      <c r="BY68" s="6"/>
      <c r="BZ68" s="6"/>
      <c r="CA68" s="6"/>
      <c r="CB68" s="6"/>
      <c r="CC68" s="6"/>
      <c r="CD68" s="6"/>
      <c r="CE68" s="6"/>
      <c r="CF68" s="6">
        <v>56285</v>
      </c>
      <c r="CG68" s="6">
        <f t="shared" si="0"/>
        <v>3202827.1250000005</v>
      </c>
      <c r="CI68" s="6">
        <v>112569</v>
      </c>
      <c r="CJ68" s="6"/>
      <c r="CK68" s="6">
        <v>45440</v>
      </c>
      <c r="CL68" s="6"/>
      <c r="CM68" s="6"/>
      <c r="CN68" s="6"/>
      <c r="CO68" s="6">
        <v>337707</v>
      </c>
      <c r="CP68" s="6">
        <v>74976</v>
      </c>
      <c r="CQ68" s="6">
        <v>1125690</v>
      </c>
      <c r="CR68" s="6"/>
      <c r="CS68" s="6"/>
      <c r="CT68" s="6"/>
      <c r="CU68" s="6"/>
      <c r="CV68" s="6"/>
      <c r="CW68" s="6"/>
      <c r="CX68" s="6">
        <v>0</v>
      </c>
      <c r="CY68" s="6"/>
      <c r="CZ68" s="6"/>
      <c r="DB68" s="6"/>
      <c r="DC68" s="6"/>
      <c r="DF68" s="6"/>
      <c r="DG68" s="6"/>
      <c r="DH68" s="6"/>
      <c r="DI68" s="6"/>
      <c r="DJ68" s="6"/>
      <c r="DK68" s="6"/>
      <c r="DL68" s="6">
        <v>7619</v>
      </c>
      <c r="DM68" s="6"/>
      <c r="DN68" s="6"/>
      <c r="DO68" s="6"/>
      <c r="DP68" s="6">
        <v>19175</v>
      </c>
      <c r="DU68" s="6">
        <f>VLOOKUP($A68,[3]Totals!$B$2:$K$119,10,FALSE)</f>
        <v>136683.10999999999</v>
      </c>
      <c r="DV68" s="6">
        <f>VLOOKUP($A68,[3]Totals!$B$2:$K$119,9,FALSE)</f>
        <v>74976</v>
      </c>
    </row>
    <row r="69" spans="1:126" x14ac:dyDescent="0.2">
      <c r="A69" s="3">
        <v>273</v>
      </c>
      <c r="B69" s="2" t="s">
        <v>60</v>
      </c>
      <c r="C69" t="s">
        <v>7</v>
      </c>
      <c r="D69">
        <v>3</v>
      </c>
      <c r="E69" s="1">
        <v>402</v>
      </c>
      <c r="F69" s="4">
        <v>3.6999999999999998E-2</v>
      </c>
      <c r="G69">
        <v>15</v>
      </c>
      <c r="H69" s="6">
        <v>195277</v>
      </c>
      <c r="I69" s="6"/>
      <c r="J69" s="6"/>
      <c r="K69" s="6">
        <v>67876</v>
      </c>
      <c r="L69" s="6">
        <v>3485</v>
      </c>
      <c r="M69" s="6">
        <v>78183</v>
      </c>
      <c r="N69" s="6">
        <v>60194</v>
      </c>
      <c r="O69" s="6">
        <v>101190</v>
      </c>
      <c r="P69" s="6">
        <v>112569</v>
      </c>
      <c r="Q69" s="6"/>
      <c r="R69" s="6"/>
      <c r="S69" s="6">
        <v>225138</v>
      </c>
      <c r="T69" s="6">
        <v>74976</v>
      </c>
      <c r="U69" s="6"/>
      <c r="V69" s="6"/>
      <c r="W69" s="6"/>
      <c r="X69" s="6"/>
      <c r="Y69" s="6"/>
      <c r="Z69" s="6"/>
      <c r="AA69" s="6"/>
      <c r="AB69" s="6"/>
      <c r="AC69" s="6"/>
      <c r="AD69" s="6">
        <v>133508</v>
      </c>
      <c r="AE69" s="6">
        <v>112569</v>
      </c>
      <c r="AF69" s="6">
        <v>112569</v>
      </c>
      <c r="AG69" s="6">
        <v>337707</v>
      </c>
      <c r="AH69" s="6"/>
      <c r="AI69" s="6"/>
      <c r="AJ69" s="6"/>
      <c r="AK69" s="6"/>
      <c r="AL69" s="6"/>
      <c r="AM69" s="6"/>
      <c r="AN69" s="6"/>
      <c r="AO69" s="6">
        <v>225138</v>
      </c>
      <c r="AP69" s="6"/>
      <c r="AQ69" s="6"/>
      <c r="AR69" s="6"/>
      <c r="AS69" s="6"/>
      <c r="AT69" s="6"/>
      <c r="AU69" s="6"/>
      <c r="AV69" s="6"/>
      <c r="AW69" s="6">
        <v>0</v>
      </c>
      <c r="AX69" s="6"/>
      <c r="AY69" s="6"/>
      <c r="AZ69" s="6">
        <v>0</v>
      </c>
      <c r="BA69" s="6"/>
      <c r="BB69" s="6">
        <v>10050</v>
      </c>
      <c r="BC69" s="6"/>
      <c r="BD69" s="6"/>
      <c r="BE69" s="6"/>
      <c r="BF69" s="6"/>
      <c r="BG69" s="6"/>
      <c r="BH69" s="6"/>
      <c r="BI69" s="6"/>
      <c r="BJ69" s="6"/>
      <c r="BK69" s="6"/>
      <c r="BL69" s="6"/>
      <c r="BM69" s="6"/>
      <c r="BN69" s="6"/>
      <c r="BO69" s="6"/>
      <c r="BP69" s="6"/>
      <c r="BQ69" s="6"/>
      <c r="BR69" s="6"/>
      <c r="BS69" s="6"/>
      <c r="BT69" s="6"/>
      <c r="BU69" s="6"/>
      <c r="BV69" s="6"/>
      <c r="BW69" s="6"/>
      <c r="BX69" s="6">
        <v>37973</v>
      </c>
      <c r="BY69" s="6"/>
      <c r="BZ69" s="6"/>
      <c r="CA69" s="6"/>
      <c r="CB69" s="6"/>
      <c r="CC69" s="6"/>
      <c r="CD69" s="6"/>
      <c r="CE69" s="6"/>
      <c r="CF69" s="6">
        <v>0</v>
      </c>
      <c r="CG69" s="6">
        <f t="shared" si="0"/>
        <v>1888402</v>
      </c>
      <c r="CI69" s="6">
        <v>112569</v>
      </c>
      <c r="CJ69" s="6">
        <v>156529</v>
      </c>
      <c r="CK69" s="6">
        <v>90879</v>
      </c>
      <c r="CL69" s="6">
        <v>50639</v>
      </c>
      <c r="CM69" s="6"/>
      <c r="CN69" s="6"/>
      <c r="CO69" s="6">
        <v>506561</v>
      </c>
      <c r="CP69" s="6">
        <v>112464</v>
      </c>
      <c r="CQ69" s="6">
        <v>2026242</v>
      </c>
      <c r="CR69" s="6"/>
      <c r="CS69" s="6"/>
      <c r="CT69" s="6"/>
      <c r="CU69" s="6"/>
      <c r="CV69" s="6"/>
      <c r="CW69" s="6"/>
      <c r="CX69" s="6">
        <v>0</v>
      </c>
      <c r="CY69" s="6"/>
      <c r="CZ69" s="6"/>
      <c r="DB69" s="6"/>
      <c r="DC69" s="6"/>
      <c r="DF69" s="6"/>
      <c r="DG69" s="6"/>
      <c r="DH69" s="6"/>
      <c r="DI69" s="6"/>
      <c r="DJ69" s="6"/>
      <c r="DK69" s="6"/>
      <c r="DL69" s="6"/>
      <c r="DM69" s="6"/>
      <c r="DN69" s="6"/>
      <c r="DO69" s="6"/>
      <c r="DP69" s="6">
        <v>1225</v>
      </c>
      <c r="DU69" s="6">
        <f>VLOOKUP($A69,[3]Totals!$B$2:$K$119,10,FALSE)</f>
        <v>27791.63</v>
      </c>
      <c r="DV69" s="6">
        <f>VLOOKUP($A69,[3]Totals!$B$2:$K$119,9,FALSE)</f>
        <v>131014</v>
      </c>
    </row>
    <row r="70" spans="1:126" x14ac:dyDescent="0.2">
      <c r="A70" s="3">
        <v>284</v>
      </c>
      <c r="B70" s="2" t="s">
        <v>59</v>
      </c>
      <c r="C70" t="s">
        <v>7</v>
      </c>
      <c r="D70">
        <v>1</v>
      </c>
      <c r="E70" s="1">
        <v>457</v>
      </c>
      <c r="F70" s="4">
        <v>0.29499999999999998</v>
      </c>
      <c r="G70">
        <v>135</v>
      </c>
      <c r="H70" s="6">
        <v>195277</v>
      </c>
      <c r="I70" s="6"/>
      <c r="J70" s="6"/>
      <c r="K70" s="6">
        <v>67876</v>
      </c>
      <c r="L70" s="6">
        <v>10106</v>
      </c>
      <c r="M70" s="6">
        <v>78183</v>
      </c>
      <c r="N70" s="6">
        <v>60194</v>
      </c>
      <c r="O70" s="6">
        <v>202380</v>
      </c>
      <c r="P70" s="6">
        <v>112569</v>
      </c>
      <c r="Q70" s="6">
        <v>225138</v>
      </c>
      <c r="R70" s="6">
        <v>225138</v>
      </c>
      <c r="S70" s="6">
        <v>225138</v>
      </c>
      <c r="T70" s="6">
        <v>224928</v>
      </c>
      <c r="U70" s="6"/>
      <c r="V70" s="6"/>
      <c r="W70" s="6"/>
      <c r="X70" s="6"/>
      <c r="Y70" s="6"/>
      <c r="Z70" s="6"/>
      <c r="AA70" s="6"/>
      <c r="AB70" s="6"/>
      <c r="AC70" s="6"/>
      <c r="AD70" s="6">
        <v>186706</v>
      </c>
      <c r="AE70" s="6">
        <v>112569</v>
      </c>
      <c r="AF70" s="6">
        <v>450276</v>
      </c>
      <c r="AG70" s="6">
        <v>787983</v>
      </c>
      <c r="AH70" s="6"/>
      <c r="AI70" s="6">
        <v>74976</v>
      </c>
      <c r="AJ70" s="6"/>
      <c r="AK70" s="6">
        <v>110030</v>
      </c>
      <c r="AL70" s="6"/>
      <c r="AM70" s="6"/>
      <c r="AN70" s="6"/>
      <c r="AO70" s="6">
        <v>1013121</v>
      </c>
      <c r="AP70" s="6"/>
      <c r="AQ70" s="6"/>
      <c r="AR70" s="6"/>
      <c r="AS70" s="6">
        <f>74800-40800</f>
        <v>34000</v>
      </c>
      <c r="AT70" s="6">
        <f>74800-40800</f>
        <v>34000</v>
      </c>
      <c r="AU70" s="6"/>
      <c r="AV70" s="6"/>
      <c r="AW70" s="6">
        <v>81600</v>
      </c>
      <c r="AX70" s="6"/>
      <c r="AY70" s="6"/>
      <c r="AZ70" s="6">
        <v>207217.72</v>
      </c>
      <c r="BA70" s="6"/>
      <c r="BB70" s="6"/>
      <c r="BC70" s="6"/>
      <c r="BD70" s="6"/>
      <c r="BE70" s="6"/>
      <c r="BF70" s="6"/>
      <c r="BG70" s="6"/>
      <c r="BH70" s="6"/>
      <c r="BI70" s="6"/>
      <c r="BJ70" s="6"/>
      <c r="BK70" s="6"/>
      <c r="BL70" s="6"/>
      <c r="BM70" s="6"/>
      <c r="BN70" s="6">
        <v>112569</v>
      </c>
      <c r="BO70" s="6">
        <v>69396</v>
      </c>
      <c r="BP70" s="6">
        <v>70583</v>
      </c>
      <c r="BQ70" s="6">
        <v>5000</v>
      </c>
      <c r="BR70" s="6"/>
      <c r="BS70" s="6"/>
      <c r="BT70" s="6"/>
      <c r="BU70" s="6"/>
      <c r="BV70" s="6"/>
      <c r="BW70" s="6"/>
      <c r="BX70" s="6">
        <v>341755</v>
      </c>
      <c r="BY70" s="6"/>
      <c r="BZ70" s="6"/>
      <c r="CA70" s="6"/>
      <c r="CB70" s="6"/>
      <c r="CC70" s="6"/>
      <c r="CD70" s="6"/>
      <c r="CE70" s="6"/>
      <c r="CF70" s="6">
        <v>122769</v>
      </c>
      <c r="CG70" s="6">
        <f t="shared" si="0"/>
        <v>5441477.7199999997</v>
      </c>
      <c r="CI70" s="6">
        <v>112569</v>
      </c>
      <c r="CJ70" s="6">
        <v>172182</v>
      </c>
      <c r="CK70" s="6">
        <v>90879</v>
      </c>
      <c r="CL70" s="6">
        <v>55703</v>
      </c>
      <c r="CM70" s="6"/>
      <c r="CN70" s="6"/>
      <c r="CO70" s="6">
        <v>506561</v>
      </c>
      <c r="CP70" s="6">
        <v>112464</v>
      </c>
      <c r="CQ70" s="6">
        <v>2026242</v>
      </c>
      <c r="CR70" s="6"/>
      <c r="CS70" s="6"/>
      <c r="CT70" s="6"/>
      <c r="CU70" s="6"/>
      <c r="CV70" s="6"/>
      <c r="CW70" s="6"/>
      <c r="CX70" s="6">
        <v>0</v>
      </c>
      <c r="CY70" s="6"/>
      <c r="CZ70" s="6"/>
      <c r="DB70" s="6">
        <v>225138</v>
      </c>
      <c r="DC70" s="6"/>
      <c r="DF70" s="6"/>
      <c r="DG70" s="6"/>
      <c r="DH70" s="6"/>
      <c r="DI70" s="6"/>
      <c r="DJ70" s="6"/>
      <c r="DK70" s="6"/>
      <c r="DL70" s="6">
        <v>2702</v>
      </c>
      <c r="DM70" s="6"/>
      <c r="DN70" s="6"/>
      <c r="DO70" s="6"/>
      <c r="DP70" s="6">
        <v>10125</v>
      </c>
      <c r="DU70" s="6">
        <f>VLOOKUP($A70,[3]Totals!$B$2:$K$119,10,FALSE)</f>
        <v>122144.73</v>
      </c>
      <c r="DV70" s="6">
        <f>VLOOKUP($A70,[3]Totals!$B$2:$K$119,9,FALSE)</f>
        <v>8000</v>
      </c>
    </row>
    <row r="71" spans="1:126" x14ac:dyDescent="0.2">
      <c r="A71" s="3">
        <v>274</v>
      </c>
      <c r="B71" s="2" t="s">
        <v>58</v>
      </c>
      <c r="C71" t="s">
        <v>7</v>
      </c>
      <c r="D71">
        <v>6</v>
      </c>
      <c r="E71" s="1">
        <v>509</v>
      </c>
      <c r="F71" s="4">
        <v>0.13400000000000001</v>
      </c>
      <c r="G71">
        <v>68</v>
      </c>
      <c r="H71" s="6">
        <v>195277</v>
      </c>
      <c r="I71" s="6"/>
      <c r="J71" s="6"/>
      <c r="K71" s="6">
        <v>67876</v>
      </c>
      <c r="L71" s="6">
        <v>6422</v>
      </c>
      <c r="M71" s="6">
        <v>78183</v>
      </c>
      <c r="N71" s="6">
        <v>60194</v>
      </c>
      <c r="O71" s="6">
        <v>151785</v>
      </c>
      <c r="P71" s="6">
        <v>112569</v>
      </c>
      <c r="Q71" s="6">
        <v>225138</v>
      </c>
      <c r="R71" s="6">
        <v>112569</v>
      </c>
      <c r="S71" s="6">
        <v>225138</v>
      </c>
      <c r="T71" s="6">
        <v>187440</v>
      </c>
      <c r="U71" s="6"/>
      <c r="V71" s="6"/>
      <c r="W71" s="6"/>
      <c r="X71" s="6"/>
      <c r="Y71" s="6"/>
      <c r="Z71" s="6"/>
      <c r="AA71" s="6"/>
      <c r="AB71" s="6"/>
      <c r="AC71" s="6"/>
      <c r="AD71" s="6">
        <v>161940</v>
      </c>
      <c r="AE71" s="6">
        <v>112569</v>
      </c>
      <c r="AF71" s="6">
        <v>112569</v>
      </c>
      <c r="AG71" s="6">
        <v>450276</v>
      </c>
      <c r="AH71" s="6"/>
      <c r="AI71" s="6"/>
      <c r="AJ71" s="6"/>
      <c r="AK71" s="6"/>
      <c r="AL71" s="6"/>
      <c r="AM71" s="6"/>
      <c r="AN71" s="6"/>
      <c r="AO71" s="6">
        <v>112569</v>
      </c>
      <c r="AP71" s="6"/>
      <c r="AQ71" s="6"/>
      <c r="AR71" s="6"/>
      <c r="AS71" s="6"/>
      <c r="AT71" s="6"/>
      <c r="AU71" s="6"/>
      <c r="AV71" s="6"/>
      <c r="AW71" s="6">
        <v>0</v>
      </c>
      <c r="AX71" s="6"/>
      <c r="AY71" s="6"/>
      <c r="AZ71" s="6">
        <v>0</v>
      </c>
      <c r="BA71" s="6"/>
      <c r="BB71" s="6">
        <v>12725</v>
      </c>
      <c r="BC71" s="6"/>
      <c r="BD71" s="6"/>
      <c r="BE71" s="6"/>
      <c r="BF71" s="6"/>
      <c r="BG71" s="6"/>
      <c r="BH71" s="6"/>
      <c r="BI71" s="6"/>
      <c r="BJ71" s="6"/>
      <c r="BK71" s="6"/>
      <c r="BL71" s="6"/>
      <c r="BM71" s="6"/>
      <c r="BN71" s="6"/>
      <c r="BO71" s="6"/>
      <c r="BP71" s="6"/>
      <c r="BQ71" s="6"/>
      <c r="BR71" s="6"/>
      <c r="BS71" s="6"/>
      <c r="BT71" s="6"/>
      <c r="BU71" s="6"/>
      <c r="BV71" s="6"/>
      <c r="BW71" s="6"/>
      <c r="BX71" s="6">
        <v>172143</v>
      </c>
      <c r="BY71" s="6"/>
      <c r="BZ71" s="6"/>
      <c r="CA71" s="6"/>
      <c r="CB71" s="6"/>
      <c r="CC71" s="6"/>
      <c r="CD71" s="6"/>
      <c r="CE71" s="6"/>
      <c r="CF71" s="6">
        <v>0</v>
      </c>
      <c r="CG71" s="6">
        <f t="shared" ref="CG71:CG121" si="3">SUM(H71:CF71)</f>
        <v>2557382</v>
      </c>
      <c r="CI71" s="6">
        <v>112569</v>
      </c>
      <c r="CJ71" s="6">
        <v>203488</v>
      </c>
      <c r="CK71" s="6">
        <v>90879</v>
      </c>
      <c r="CL71" s="6">
        <v>65831</v>
      </c>
      <c r="CM71" s="6"/>
      <c r="CN71" s="6"/>
      <c r="CO71" s="6">
        <v>506561</v>
      </c>
      <c r="CP71" s="6">
        <v>149952</v>
      </c>
      <c r="CQ71" s="6">
        <v>2251380</v>
      </c>
      <c r="CR71" s="6"/>
      <c r="CS71" s="6"/>
      <c r="CT71" s="6"/>
      <c r="CU71" s="6"/>
      <c r="CV71" s="6"/>
      <c r="CW71" s="6"/>
      <c r="CX71" s="6">
        <v>0</v>
      </c>
      <c r="CY71" s="6"/>
      <c r="CZ71" s="6"/>
      <c r="DB71" s="6"/>
      <c r="DC71" s="6"/>
      <c r="DF71" s="6"/>
      <c r="DG71" s="6"/>
      <c r="DH71" s="6"/>
      <c r="DI71" s="6"/>
      <c r="DJ71" s="6"/>
      <c r="DK71" s="6"/>
      <c r="DL71" s="6"/>
      <c r="DM71" s="6"/>
      <c r="DN71" s="6"/>
      <c r="DO71" s="6"/>
      <c r="DP71" s="6">
        <v>2625</v>
      </c>
      <c r="DU71" s="6">
        <f>VLOOKUP($A71,[3]Totals!$B$2:$K$119,10,FALSE)</f>
        <v>81936.820000000007</v>
      </c>
      <c r="DV71" s="6">
        <f>VLOOKUP($A71,[3]Totals!$B$2:$K$119,9,FALSE)</f>
        <v>112569</v>
      </c>
    </row>
    <row r="72" spans="1:126" x14ac:dyDescent="0.2">
      <c r="A72" s="3">
        <v>435</v>
      </c>
      <c r="B72" s="2" t="s">
        <v>57</v>
      </c>
      <c r="C72" t="s">
        <v>19</v>
      </c>
      <c r="D72">
        <v>5</v>
      </c>
      <c r="E72" s="1">
        <v>300</v>
      </c>
      <c r="F72" s="4">
        <v>0.60699999999999998</v>
      </c>
      <c r="G72">
        <v>182</v>
      </c>
      <c r="H72" s="6">
        <v>97639</v>
      </c>
      <c r="I72" s="6">
        <v>112569</v>
      </c>
      <c r="J72" s="6"/>
      <c r="K72" s="6">
        <v>67876</v>
      </c>
      <c r="L72" s="6">
        <v>4085</v>
      </c>
      <c r="M72" s="6">
        <v>78183</v>
      </c>
      <c r="N72" s="6">
        <v>60194</v>
      </c>
      <c r="O72" s="6">
        <v>151785</v>
      </c>
      <c r="P72" s="6">
        <v>112569</v>
      </c>
      <c r="Q72" s="6"/>
      <c r="R72" s="6"/>
      <c r="S72" s="6"/>
      <c r="T72" s="6"/>
      <c r="U72" s="6"/>
      <c r="V72" s="6"/>
      <c r="W72" s="6"/>
      <c r="X72" s="6"/>
      <c r="Y72" s="6"/>
      <c r="Z72" s="6"/>
      <c r="AA72" s="6"/>
      <c r="AB72" s="6"/>
      <c r="AC72" s="6"/>
      <c r="AD72" s="6">
        <v>121633</v>
      </c>
      <c r="AE72" s="6">
        <v>112569</v>
      </c>
      <c r="AF72" s="6">
        <v>225138</v>
      </c>
      <c r="AG72" s="6">
        <v>900552</v>
      </c>
      <c r="AH72" s="6"/>
      <c r="AI72" s="6">
        <v>112464</v>
      </c>
      <c r="AJ72" s="6"/>
      <c r="AK72" s="6">
        <v>55015</v>
      </c>
      <c r="AL72" s="6"/>
      <c r="AM72" s="6"/>
      <c r="AN72" s="6"/>
      <c r="AO72" s="6">
        <v>112569</v>
      </c>
      <c r="AP72" s="6"/>
      <c r="AQ72" s="6"/>
      <c r="AR72" s="6"/>
      <c r="AS72" s="6"/>
      <c r="AT72" s="6"/>
      <c r="AU72" s="6"/>
      <c r="AV72" s="6"/>
      <c r="AW72" s="6">
        <v>0</v>
      </c>
      <c r="AX72" s="6"/>
      <c r="AY72" s="6"/>
      <c r="AZ72" s="6">
        <v>95580.28</v>
      </c>
      <c r="BA72" s="6"/>
      <c r="BB72" s="6"/>
      <c r="BC72" s="6"/>
      <c r="BD72" s="6"/>
      <c r="BE72" s="6"/>
      <c r="BF72" s="6"/>
      <c r="BG72" s="6"/>
      <c r="BH72" s="6"/>
      <c r="BI72" s="6"/>
      <c r="BJ72" s="6"/>
      <c r="BK72" s="6"/>
      <c r="BL72" s="6"/>
      <c r="BM72" s="6"/>
      <c r="BN72" s="6"/>
      <c r="BO72" s="6"/>
      <c r="BP72" s="6"/>
      <c r="BQ72" s="6"/>
      <c r="BR72" s="6"/>
      <c r="BS72" s="6"/>
      <c r="BT72" s="6"/>
      <c r="BU72" s="6"/>
      <c r="BV72" s="6"/>
      <c r="BW72" s="6"/>
      <c r="BX72" s="6">
        <v>460737</v>
      </c>
      <c r="BY72" s="6"/>
      <c r="BZ72" s="6"/>
      <c r="CA72" s="6"/>
      <c r="CB72" s="6"/>
      <c r="CC72" s="6"/>
      <c r="CD72" s="6"/>
      <c r="CE72" s="6"/>
      <c r="CF72" s="6">
        <v>112569</v>
      </c>
      <c r="CG72" s="6">
        <f t="shared" si="3"/>
        <v>2993726.28</v>
      </c>
      <c r="CI72" s="6">
        <v>112569</v>
      </c>
      <c r="CJ72" s="6">
        <v>313058</v>
      </c>
      <c r="CK72" s="6">
        <v>90879</v>
      </c>
      <c r="CL72" s="6"/>
      <c r="CM72" s="6"/>
      <c r="CN72" s="6"/>
      <c r="CO72" s="6"/>
      <c r="CP72" s="6"/>
      <c r="CQ72" s="6">
        <v>1519682</v>
      </c>
      <c r="CR72" s="6">
        <v>225138</v>
      </c>
      <c r="CS72" s="6">
        <v>23000</v>
      </c>
      <c r="CT72" s="6">
        <v>5000</v>
      </c>
      <c r="CU72" s="6">
        <v>100000</v>
      </c>
      <c r="CV72" s="6"/>
      <c r="CW72" s="6"/>
      <c r="CX72" s="6">
        <v>0</v>
      </c>
      <c r="CY72" s="6">
        <v>75000</v>
      </c>
      <c r="CZ72" s="6"/>
      <c r="DB72" s="6"/>
      <c r="DC72" s="6"/>
      <c r="DF72" s="6"/>
      <c r="DG72" s="6"/>
      <c r="DH72" s="6"/>
      <c r="DI72" s="6"/>
      <c r="DJ72" s="6"/>
      <c r="DK72" s="6"/>
      <c r="DL72" s="6">
        <v>3645</v>
      </c>
      <c r="DM72" s="6"/>
      <c r="DN72" s="6"/>
      <c r="DO72" s="6"/>
      <c r="DP72" s="6">
        <v>42000</v>
      </c>
      <c r="DU72" s="6">
        <f>VLOOKUP($A72,[3]Totals!$B$2:$K$119,10,FALSE)</f>
        <v>117407.34</v>
      </c>
      <c r="DV72" s="6">
        <f>VLOOKUP($A72,[3]Totals!$B$2:$K$119,9,FALSE)</f>
        <v>0</v>
      </c>
    </row>
    <row r="73" spans="1:126" x14ac:dyDescent="0.2">
      <c r="A73" s="3">
        <v>458</v>
      </c>
      <c r="B73" s="2" t="s">
        <v>56</v>
      </c>
      <c r="C73" t="s">
        <v>1</v>
      </c>
      <c r="D73">
        <v>5</v>
      </c>
      <c r="E73" s="1">
        <v>696</v>
      </c>
      <c r="F73" s="4">
        <v>0.38500000000000001</v>
      </c>
      <c r="G73">
        <v>268</v>
      </c>
      <c r="H73" s="6">
        <v>97639</v>
      </c>
      <c r="I73" s="6"/>
      <c r="J73" s="6">
        <v>381744</v>
      </c>
      <c r="K73" s="6">
        <v>67876</v>
      </c>
      <c r="L73" s="6">
        <v>17681</v>
      </c>
      <c r="M73" s="6">
        <v>78183</v>
      </c>
      <c r="N73" s="6">
        <v>60194</v>
      </c>
      <c r="O73" s="6">
        <v>303570</v>
      </c>
      <c r="P73" s="6">
        <v>112569</v>
      </c>
      <c r="Q73" s="6"/>
      <c r="R73" s="6"/>
      <c r="S73" s="6"/>
      <c r="T73" s="6"/>
      <c r="U73" s="6"/>
      <c r="V73" s="6"/>
      <c r="W73" s="6"/>
      <c r="X73" s="6"/>
      <c r="Y73" s="6"/>
      <c r="Z73" s="6"/>
      <c r="AA73" s="6">
        <v>112569</v>
      </c>
      <c r="AB73" s="6">
        <v>112569</v>
      </c>
      <c r="AC73" s="6"/>
      <c r="AD73" s="6">
        <v>244152</v>
      </c>
      <c r="AE73" s="6">
        <v>112569</v>
      </c>
      <c r="AF73" s="6">
        <v>225138</v>
      </c>
      <c r="AG73" s="6">
        <v>225138</v>
      </c>
      <c r="AH73" s="6"/>
      <c r="AI73" s="6"/>
      <c r="AJ73" s="6"/>
      <c r="AK73" s="6"/>
      <c r="AL73" s="6"/>
      <c r="AM73" s="6"/>
      <c r="AN73" s="6"/>
      <c r="AO73" s="6">
        <v>112569</v>
      </c>
      <c r="AP73" s="6"/>
      <c r="AQ73" s="6"/>
      <c r="AR73" s="6"/>
      <c r="AS73" s="6"/>
      <c r="AT73" s="6"/>
      <c r="AU73" s="6"/>
      <c r="AV73" s="6"/>
      <c r="AW73" s="6">
        <v>0</v>
      </c>
      <c r="AX73" s="6"/>
      <c r="AY73" s="6"/>
      <c r="AZ73" s="6">
        <v>221740.13999999998</v>
      </c>
      <c r="BA73" s="6"/>
      <c r="BB73" s="6"/>
      <c r="BC73" s="6"/>
      <c r="BD73" s="6"/>
      <c r="BE73" s="6"/>
      <c r="BF73" s="6"/>
      <c r="BG73" s="6"/>
      <c r="BH73" s="6"/>
      <c r="BI73" s="6"/>
      <c r="BJ73" s="6"/>
      <c r="BK73" s="6"/>
      <c r="BL73" s="6"/>
      <c r="BM73" s="6"/>
      <c r="BN73" s="6"/>
      <c r="BO73" s="6"/>
      <c r="BP73" s="6"/>
      <c r="BQ73" s="6"/>
      <c r="BR73" s="6"/>
      <c r="BS73" s="6">
        <v>1680585</v>
      </c>
      <c r="BT73" s="6"/>
      <c r="BU73" s="6">
        <v>432918</v>
      </c>
      <c r="BV73" s="6"/>
      <c r="BW73" s="6">
        <v>125502</v>
      </c>
      <c r="BX73" s="6">
        <v>752199</v>
      </c>
      <c r="BY73" s="6"/>
      <c r="BZ73" s="6"/>
      <c r="CA73" s="6"/>
      <c r="CB73" s="6"/>
      <c r="CC73" s="6"/>
      <c r="CD73" s="6"/>
      <c r="CE73" s="6">
        <v>112569</v>
      </c>
      <c r="CF73" s="6">
        <v>0</v>
      </c>
      <c r="CG73" s="6">
        <f t="shared" si="3"/>
        <v>5589673.1400000006</v>
      </c>
      <c r="CI73" s="6">
        <v>112569</v>
      </c>
      <c r="CJ73" s="6">
        <v>360017</v>
      </c>
      <c r="CK73" s="6">
        <v>90879</v>
      </c>
      <c r="CL73" s="6">
        <v>86086</v>
      </c>
      <c r="CM73" s="6">
        <v>56854</v>
      </c>
      <c r="CN73" s="6">
        <v>69509</v>
      </c>
      <c r="CO73" s="6"/>
      <c r="CP73" s="6"/>
      <c r="CQ73" s="6">
        <f>3275758-DH73</f>
        <v>3264501.0999999996</v>
      </c>
      <c r="CR73" s="6"/>
      <c r="CS73" s="6"/>
      <c r="CT73" s="6"/>
      <c r="CU73" s="6"/>
      <c r="CV73" s="6">
        <v>117087</v>
      </c>
      <c r="CW73" s="6"/>
      <c r="CX73" s="6">
        <v>43128.2</v>
      </c>
      <c r="CY73" s="6"/>
      <c r="CZ73" s="6"/>
      <c r="DB73" s="6"/>
      <c r="DC73" s="6"/>
      <c r="DF73" s="6"/>
      <c r="DG73" s="6"/>
      <c r="DH73" s="6">
        <f>'[2]pdf DetailxSch Pos'!AE72*'[2]pdf DetailxSch Pos'!AE$122</f>
        <v>11256.90000000016</v>
      </c>
      <c r="DI73" s="6"/>
      <c r="DJ73" s="6"/>
      <c r="DK73" s="6"/>
      <c r="DL73" s="6">
        <v>5353</v>
      </c>
      <c r="DM73" s="6"/>
      <c r="DN73" s="6"/>
      <c r="DO73" s="6"/>
      <c r="DP73" s="6">
        <v>3150</v>
      </c>
      <c r="DU73" s="6">
        <f>VLOOKUP($A73,[3]Totals!$B$2:$K$119,10,FALSE)</f>
        <v>199841.22</v>
      </c>
      <c r="DV73" s="6">
        <f>VLOOKUP($A73,[3]Totals!$B$2:$K$119,9,FALSE)</f>
        <v>156529</v>
      </c>
    </row>
    <row r="74" spans="1:126" x14ac:dyDescent="0.2">
      <c r="A74" s="3">
        <v>1165</v>
      </c>
      <c r="B74" s="2" t="s">
        <v>55</v>
      </c>
      <c r="C74" t="s">
        <v>7</v>
      </c>
      <c r="D74">
        <v>4</v>
      </c>
      <c r="E74" s="1">
        <v>73</v>
      </c>
      <c r="F74" s="4">
        <v>0.50700000000000001</v>
      </c>
      <c r="G74">
        <v>37</v>
      </c>
      <c r="H74" s="6">
        <v>195277</v>
      </c>
      <c r="I74" s="6"/>
      <c r="J74" s="6"/>
      <c r="K74" s="6">
        <v>67876</v>
      </c>
      <c r="L74" s="6"/>
      <c r="M74" s="6">
        <v>78183</v>
      </c>
      <c r="N74" s="6">
        <v>60194</v>
      </c>
      <c r="O74" s="6">
        <v>50595</v>
      </c>
      <c r="P74" s="6">
        <f>91547+15105+5917.07</f>
        <v>112569.07</v>
      </c>
      <c r="Q74" s="6">
        <v>225138</v>
      </c>
      <c r="R74" s="6"/>
      <c r="S74" s="6">
        <v>225138</v>
      </c>
      <c r="T74" s="6">
        <v>149952</v>
      </c>
      <c r="U74" s="6"/>
      <c r="V74" s="6"/>
      <c r="W74" s="6"/>
      <c r="X74" s="6"/>
      <c r="Y74" s="6"/>
      <c r="Z74" s="6"/>
      <c r="AA74" s="6"/>
      <c r="AB74" s="6"/>
      <c r="AC74" s="6"/>
      <c r="AD74" s="6">
        <v>84066</v>
      </c>
      <c r="AE74" s="6"/>
      <c r="AF74" s="6"/>
      <c r="AG74" s="6">
        <v>450276</v>
      </c>
      <c r="AH74" s="6"/>
      <c r="AI74" s="6">
        <v>112464</v>
      </c>
      <c r="AJ74" s="6"/>
      <c r="AK74" s="6"/>
      <c r="AL74" s="6"/>
      <c r="AM74" s="6"/>
      <c r="AN74" s="6"/>
      <c r="AO74" s="6"/>
      <c r="AP74" s="6">
        <v>40525</v>
      </c>
      <c r="AQ74" s="6"/>
      <c r="AR74" s="6"/>
      <c r="AS74" s="6"/>
      <c r="AT74" s="6"/>
      <c r="AU74" s="6"/>
      <c r="AV74" s="6"/>
      <c r="AW74" s="6">
        <v>0</v>
      </c>
      <c r="AX74" s="6"/>
      <c r="AY74" s="6"/>
      <c r="AZ74" s="6">
        <v>14255.19</v>
      </c>
      <c r="BA74" s="6"/>
      <c r="BB74" s="6"/>
      <c r="BC74" s="6"/>
      <c r="BD74" s="6"/>
      <c r="BE74" s="6"/>
      <c r="BF74" s="6"/>
      <c r="BG74" s="6"/>
      <c r="BH74" s="6"/>
      <c r="BI74" s="6"/>
      <c r="BJ74" s="6"/>
      <c r="BK74" s="6"/>
      <c r="BL74" s="6"/>
      <c r="BM74" s="6"/>
      <c r="BN74" s="6"/>
      <c r="BO74" s="6"/>
      <c r="BP74" s="6"/>
      <c r="BQ74" s="6"/>
      <c r="BR74" s="6"/>
      <c r="BS74" s="6"/>
      <c r="BT74" s="6"/>
      <c r="BU74" s="6"/>
      <c r="BV74" s="6"/>
      <c r="BW74" s="6"/>
      <c r="BX74" s="6">
        <v>93666</v>
      </c>
      <c r="BY74" s="6"/>
      <c r="BZ74" s="6"/>
      <c r="CA74" s="6"/>
      <c r="CB74" s="6"/>
      <c r="CC74" s="6"/>
      <c r="CD74" s="6"/>
      <c r="CE74" s="6"/>
      <c r="CG74" s="6">
        <f t="shared" si="3"/>
        <v>1960174.26</v>
      </c>
      <c r="CI74" s="6">
        <v>112569</v>
      </c>
      <c r="CJ74" s="6"/>
      <c r="CK74" s="6">
        <v>45440</v>
      </c>
      <c r="CL74" s="6"/>
      <c r="CM74" s="6"/>
      <c r="CN74" s="6"/>
      <c r="CO74" s="6">
        <v>337707</v>
      </c>
      <c r="CP74" s="6"/>
      <c r="CQ74" s="6"/>
      <c r="CR74" s="6"/>
      <c r="CS74" s="6"/>
      <c r="CT74" s="6"/>
      <c r="CU74" s="6"/>
      <c r="CV74" s="6"/>
      <c r="CW74" s="6"/>
      <c r="CX74" s="6">
        <v>0</v>
      </c>
      <c r="CY74" s="6"/>
      <c r="CZ74" s="6"/>
      <c r="DB74" s="6"/>
      <c r="DC74" s="6"/>
      <c r="DF74" s="6"/>
      <c r="DG74" s="6"/>
      <c r="DH74" s="6"/>
      <c r="DI74" s="6"/>
      <c r="DJ74" s="6"/>
      <c r="DK74" s="6"/>
      <c r="DL74" s="6"/>
      <c r="DM74" s="6"/>
      <c r="DN74" s="6"/>
      <c r="DO74" s="6"/>
      <c r="DP74" s="6">
        <v>4322</v>
      </c>
      <c r="DU74" s="6">
        <f>VLOOKUP($A74,[3]Totals!$B$2:$K$119,10,FALSE)</f>
        <v>45000</v>
      </c>
      <c r="DV74" s="6">
        <f>VLOOKUP($A74,[3]Totals!$B$2:$K$119,9,FALSE)</f>
        <v>0</v>
      </c>
    </row>
    <row r="75" spans="1:126" x14ac:dyDescent="0.2">
      <c r="A75" s="3">
        <v>280</v>
      </c>
      <c r="B75" s="2" t="s">
        <v>54</v>
      </c>
      <c r="C75" t="s">
        <v>7</v>
      </c>
      <c r="D75">
        <v>6</v>
      </c>
      <c r="E75" s="1">
        <v>418</v>
      </c>
      <c r="F75" s="4">
        <v>0.63900000000000001</v>
      </c>
      <c r="G75">
        <v>267</v>
      </c>
      <c r="H75" s="6">
        <v>195277</v>
      </c>
      <c r="I75" s="6"/>
      <c r="J75" s="6"/>
      <c r="K75" s="6">
        <v>67876</v>
      </c>
      <c r="L75" s="6">
        <v>5378</v>
      </c>
      <c r="M75" s="6">
        <v>78183</v>
      </c>
      <c r="N75" s="6">
        <v>60194</v>
      </c>
      <c r="O75" s="6">
        <v>101190</v>
      </c>
      <c r="P75" s="6">
        <v>112569</v>
      </c>
      <c r="Q75" s="6">
        <v>337707</v>
      </c>
      <c r="R75" s="6">
        <v>112569</v>
      </c>
      <c r="S75" s="6">
        <v>450276</v>
      </c>
      <c r="T75" s="6">
        <v>299904</v>
      </c>
      <c r="U75" s="6"/>
      <c r="V75" s="6"/>
      <c r="W75" s="6"/>
      <c r="X75" s="6"/>
      <c r="Y75" s="6"/>
      <c r="Z75" s="6"/>
      <c r="AA75" s="6"/>
      <c r="AB75" s="6"/>
      <c r="AC75" s="6"/>
      <c r="AD75" s="6">
        <v>162348</v>
      </c>
      <c r="AE75" s="6">
        <v>112569</v>
      </c>
      <c r="AF75" s="6">
        <v>225138</v>
      </c>
      <c r="AG75" s="6">
        <v>900552</v>
      </c>
      <c r="AH75" s="6"/>
      <c r="AI75" s="6">
        <v>187440</v>
      </c>
      <c r="AJ75" s="6"/>
      <c r="AK75" s="6"/>
      <c r="AL75" s="6"/>
      <c r="AM75" s="6"/>
      <c r="AN75" s="6"/>
      <c r="AO75" s="6">
        <v>112569</v>
      </c>
      <c r="AP75" s="6"/>
      <c r="AQ75" s="6"/>
      <c r="AR75" s="6"/>
      <c r="AS75" s="6">
        <f>40800-20400</f>
        <v>20400</v>
      </c>
      <c r="AT75" s="6">
        <f>40800-20400</f>
        <v>20400</v>
      </c>
      <c r="AU75" s="6">
        <v>10200</v>
      </c>
      <c r="AV75" s="6"/>
      <c r="AW75" s="6">
        <v>40800</v>
      </c>
      <c r="AX75" s="6"/>
      <c r="AY75" s="6"/>
      <c r="AZ75" s="6">
        <v>189533.42</v>
      </c>
      <c r="BA75" s="6"/>
      <c r="BB75" s="6"/>
      <c r="BC75" s="6"/>
      <c r="BD75" s="6"/>
      <c r="BE75" s="6"/>
      <c r="BF75" s="6"/>
      <c r="BG75" s="6"/>
      <c r="BH75" s="6"/>
      <c r="BI75" s="6"/>
      <c r="BJ75" s="6"/>
      <c r="BK75" s="6"/>
      <c r="BL75" s="6"/>
      <c r="BM75" s="6"/>
      <c r="BN75" s="6"/>
      <c r="BO75" s="6"/>
      <c r="BP75" s="6"/>
      <c r="BQ75" s="6"/>
      <c r="BR75" s="6"/>
      <c r="BS75" s="6"/>
      <c r="BT75" s="6"/>
      <c r="BU75" s="6"/>
      <c r="BV75" s="6"/>
      <c r="BW75" s="6"/>
      <c r="BX75" s="6">
        <v>675915</v>
      </c>
      <c r="BY75" s="6"/>
      <c r="BZ75" s="6"/>
      <c r="CA75" s="6"/>
      <c r="CB75" s="6"/>
      <c r="CC75" s="6"/>
      <c r="CD75" s="6"/>
      <c r="CE75" s="6"/>
      <c r="CF75" s="6">
        <v>112569</v>
      </c>
      <c r="CG75" s="6">
        <f t="shared" si="3"/>
        <v>4591556.42</v>
      </c>
      <c r="CI75" s="6">
        <v>112569</v>
      </c>
      <c r="CJ75" s="6">
        <v>156529</v>
      </c>
      <c r="CK75" s="6">
        <v>90879</v>
      </c>
      <c r="CL75" s="6">
        <v>50639</v>
      </c>
      <c r="CM75" s="6"/>
      <c r="CN75" s="6"/>
      <c r="CO75" s="6">
        <f>844268-DG75</f>
        <v>506561</v>
      </c>
      <c r="CP75" s="6">
        <v>112464</v>
      </c>
      <c r="CQ75" s="6">
        <v>1688535</v>
      </c>
      <c r="CR75" s="6"/>
      <c r="CS75" s="6"/>
      <c r="CT75" s="6"/>
      <c r="CU75" s="6"/>
      <c r="CV75" s="6"/>
      <c r="CW75" s="6"/>
      <c r="CX75" s="6">
        <v>0</v>
      </c>
      <c r="CY75" s="6"/>
      <c r="CZ75" s="6"/>
      <c r="DB75" s="6"/>
      <c r="DC75" s="6"/>
      <c r="DF75" s="6"/>
      <c r="DG75" s="6">
        <v>337707</v>
      </c>
      <c r="DH75" s="6"/>
      <c r="DI75" s="6"/>
      <c r="DJ75" s="6"/>
      <c r="DK75" s="6"/>
      <c r="DL75" s="6">
        <v>5350</v>
      </c>
      <c r="DM75" s="6"/>
      <c r="DN75" s="6"/>
      <c r="DO75" s="6"/>
      <c r="DP75" s="6">
        <v>23725</v>
      </c>
      <c r="DU75" s="6">
        <f>VLOOKUP($A75,[3]Totals!$B$2:$K$119,10,FALSE)</f>
        <v>242135.14</v>
      </c>
      <c r="DV75" s="6">
        <f>VLOOKUP($A75,[3]Totals!$B$2:$K$119,9,FALSE)</f>
        <v>187545</v>
      </c>
    </row>
    <row r="76" spans="1:126" x14ac:dyDescent="0.2">
      <c r="A76" s="3">
        <v>285</v>
      </c>
      <c r="B76" s="2" t="s">
        <v>53</v>
      </c>
      <c r="C76" t="s">
        <v>7</v>
      </c>
      <c r="D76">
        <v>8</v>
      </c>
      <c r="E76" s="1">
        <v>238</v>
      </c>
      <c r="F76" s="4">
        <v>0.90800000000000003</v>
      </c>
      <c r="G76">
        <v>216</v>
      </c>
      <c r="H76" s="6">
        <v>195277</v>
      </c>
      <c r="I76" s="6"/>
      <c r="J76" s="6"/>
      <c r="K76" s="6">
        <v>67876</v>
      </c>
      <c r="L76" s="6">
        <v>4928</v>
      </c>
      <c r="M76" s="6">
        <v>78183</v>
      </c>
      <c r="N76" s="6">
        <v>60194</v>
      </c>
      <c r="O76" s="6">
        <v>50595</v>
      </c>
      <c r="P76" s="6">
        <f>91547+15105+5917.07</f>
        <v>112569.07</v>
      </c>
      <c r="Q76" s="6">
        <v>225138</v>
      </c>
      <c r="R76" s="6">
        <v>112569</v>
      </c>
      <c r="S76" s="6">
        <v>225138</v>
      </c>
      <c r="T76" s="6">
        <v>187440</v>
      </c>
      <c r="U76" s="6"/>
      <c r="V76" s="6"/>
      <c r="W76" s="6"/>
      <c r="X76" s="6"/>
      <c r="Y76" s="6"/>
      <c r="Z76" s="6"/>
      <c r="AA76" s="6"/>
      <c r="AB76" s="6"/>
      <c r="AC76" s="6"/>
      <c r="AD76" s="6">
        <v>92815</v>
      </c>
      <c r="AE76" s="6">
        <v>112569</v>
      </c>
      <c r="AF76" s="6">
        <v>112569</v>
      </c>
      <c r="AG76" s="6">
        <v>562845</v>
      </c>
      <c r="AH76" s="6"/>
      <c r="AI76" s="6">
        <v>37488</v>
      </c>
      <c r="AJ76" s="6"/>
      <c r="AK76" s="6"/>
      <c r="AL76" s="6"/>
      <c r="AM76" s="6"/>
      <c r="AN76" s="6"/>
      <c r="AO76" s="6"/>
      <c r="AP76" s="6">
        <v>5628</v>
      </c>
      <c r="AQ76" s="6"/>
      <c r="AR76" s="6"/>
      <c r="AS76" s="6">
        <f>34000-20400</f>
        <v>13600</v>
      </c>
      <c r="AT76" s="6">
        <f>34000-20400</f>
        <v>13600</v>
      </c>
      <c r="AU76" s="6">
        <v>10200</v>
      </c>
      <c r="AV76" s="6"/>
      <c r="AW76" s="6">
        <v>40800</v>
      </c>
      <c r="AX76" s="6"/>
      <c r="AY76" s="6"/>
      <c r="AZ76" s="6">
        <v>214568.14500000002</v>
      </c>
      <c r="BA76" s="6"/>
      <c r="BB76" s="6"/>
      <c r="BC76" s="6">
        <v>112569</v>
      </c>
      <c r="BD76" s="6"/>
      <c r="BE76" s="6"/>
      <c r="BF76" s="6"/>
      <c r="BG76" s="6"/>
      <c r="BH76" s="6"/>
      <c r="BI76" s="6"/>
      <c r="BJ76" s="6"/>
      <c r="BK76" s="6"/>
      <c r="BL76" s="6"/>
      <c r="BM76" s="6"/>
      <c r="BN76" s="6"/>
      <c r="BO76" s="6"/>
      <c r="BP76" s="6"/>
      <c r="BQ76" s="6"/>
      <c r="BR76" s="6"/>
      <c r="BS76" s="6"/>
      <c r="BT76" s="6"/>
      <c r="BU76" s="6"/>
      <c r="BV76" s="6"/>
      <c r="BW76" s="6"/>
      <c r="BX76" s="6">
        <v>546808</v>
      </c>
      <c r="BY76" s="6"/>
      <c r="BZ76" s="6"/>
      <c r="CA76" s="6"/>
      <c r="CB76" s="6"/>
      <c r="CC76" s="6">
        <v>486950</v>
      </c>
      <c r="CD76" s="6"/>
      <c r="CE76" s="6">
        <v>112569</v>
      </c>
      <c r="CF76" s="6">
        <v>0</v>
      </c>
      <c r="CG76" s="6">
        <f t="shared" si="3"/>
        <v>3795485.2150000003</v>
      </c>
      <c r="CI76" s="6">
        <v>112569</v>
      </c>
      <c r="CJ76" s="6"/>
      <c r="CK76" s="6">
        <v>45440</v>
      </c>
      <c r="CL76" s="6"/>
      <c r="CM76" s="6"/>
      <c r="CN76" s="6"/>
      <c r="CO76" s="6">
        <v>337707</v>
      </c>
      <c r="CP76" s="6">
        <v>74976</v>
      </c>
      <c r="CQ76" s="6">
        <v>1013121</v>
      </c>
      <c r="CR76" s="6"/>
      <c r="CS76" s="6"/>
      <c r="CT76" s="6"/>
      <c r="CU76" s="6"/>
      <c r="CV76" s="6"/>
      <c r="CW76" s="6"/>
      <c r="CX76" s="6">
        <v>0</v>
      </c>
      <c r="CY76" s="6">
        <v>75000</v>
      </c>
      <c r="CZ76" s="6"/>
      <c r="DB76" s="6"/>
      <c r="DC76" s="6"/>
      <c r="DF76" s="6"/>
      <c r="DG76" s="6"/>
      <c r="DH76" s="6"/>
      <c r="DI76" s="6"/>
      <c r="DJ76" s="6"/>
      <c r="DK76" s="6"/>
      <c r="DL76" s="6">
        <v>8692</v>
      </c>
      <c r="DM76" s="6"/>
      <c r="DN76" s="6"/>
      <c r="DO76" s="6"/>
      <c r="DP76" s="6">
        <v>31850</v>
      </c>
      <c r="DU76" s="6">
        <f>VLOOKUP($A76,[3]Totals!$B$2:$K$119,10,FALSE)</f>
        <v>172473.57</v>
      </c>
      <c r="DV76" s="6">
        <f>VLOOKUP($A76,[3]Totals!$B$2:$K$119,9,FALSE)</f>
        <v>155324</v>
      </c>
    </row>
    <row r="77" spans="1:126" x14ac:dyDescent="0.2">
      <c r="A77" s="3">
        <v>287</v>
      </c>
      <c r="B77" s="2" t="s">
        <v>52</v>
      </c>
      <c r="C77" t="s">
        <v>7</v>
      </c>
      <c r="D77">
        <v>3</v>
      </c>
      <c r="E77" s="1">
        <v>614</v>
      </c>
      <c r="F77" s="4">
        <v>5.5E-2</v>
      </c>
      <c r="G77">
        <v>34</v>
      </c>
      <c r="H77" s="6">
        <v>195277</v>
      </c>
      <c r="I77" s="6"/>
      <c r="J77" s="6"/>
      <c r="K77" s="6">
        <v>67876</v>
      </c>
      <c r="L77" s="6">
        <v>7082</v>
      </c>
      <c r="M77" s="6">
        <v>78183</v>
      </c>
      <c r="N77" s="6">
        <v>60194</v>
      </c>
      <c r="O77" s="6">
        <v>202380</v>
      </c>
      <c r="P77" s="6">
        <v>112569</v>
      </c>
      <c r="Q77" s="6"/>
      <c r="R77" s="6"/>
      <c r="S77" s="6">
        <v>337707</v>
      </c>
      <c r="T77" s="6">
        <v>112464</v>
      </c>
      <c r="U77" s="6"/>
      <c r="V77" s="6"/>
      <c r="W77" s="6"/>
      <c r="X77" s="6"/>
      <c r="Y77" s="6"/>
      <c r="Z77" s="6"/>
      <c r="AA77" s="6"/>
      <c r="AB77" s="6"/>
      <c r="AC77" s="6"/>
      <c r="AD77" s="6">
        <v>199422</v>
      </c>
      <c r="AE77" s="6">
        <v>112569</v>
      </c>
      <c r="AF77" s="6">
        <v>112569</v>
      </c>
      <c r="AG77" s="6">
        <v>900552</v>
      </c>
      <c r="AH77" s="6"/>
      <c r="AI77" s="6">
        <v>149952</v>
      </c>
      <c r="AJ77" s="6"/>
      <c r="AK77" s="6"/>
      <c r="AL77" s="6"/>
      <c r="AM77" s="6"/>
      <c r="AN77" s="6"/>
      <c r="AO77" s="6">
        <v>450276</v>
      </c>
      <c r="AP77" s="6"/>
      <c r="AQ77" s="6"/>
      <c r="AR77" s="6"/>
      <c r="AS77" s="6"/>
      <c r="AT77" s="6"/>
      <c r="AU77" s="6"/>
      <c r="AV77" s="6"/>
      <c r="AW77" s="6">
        <v>0</v>
      </c>
      <c r="AX77" s="6"/>
      <c r="AY77" s="6"/>
      <c r="AZ77" s="6">
        <v>0</v>
      </c>
      <c r="BA77" s="6"/>
      <c r="BB77" s="6">
        <v>15350</v>
      </c>
      <c r="BC77" s="6"/>
      <c r="BD77" s="6"/>
      <c r="BE77" s="6"/>
      <c r="BF77" s="6"/>
      <c r="BG77" s="6"/>
      <c r="BH77" s="6"/>
      <c r="BI77" s="6"/>
      <c r="BJ77" s="6"/>
      <c r="BK77" s="6"/>
      <c r="BL77" s="6"/>
      <c r="BM77" s="6"/>
      <c r="BN77" s="6"/>
      <c r="BO77" s="6"/>
      <c r="BP77" s="6"/>
      <c r="BQ77" s="6"/>
      <c r="BR77" s="6"/>
      <c r="BS77" s="6"/>
      <c r="BT77" s="6"/>
      <c r="BU77" s="6"/>
      <c r="BV77" s="6"/>
      <c r="BW77" s="6"/>
      <c r="BX77" s="6">
        <v>86072</v>
      </c>
      <c r="BY77" s="6"/>
      <c r="BZ77" s="6"/>
      <c r="CA77" s="6"/>
      <c r="CB77" s="6"/>
      <c r="CC77" s="6"/>
      <c r="CD77" s="6"/>
      <c r="CE77" s="6"/>
      <c r="CF77" s="6">
        <v>0</v>
      </c>
      <c r="CG77" s="6">
        <f t="shared" si="3"/>
        <v>3200494</v>
      </c>
      <c r="CI77" s="6">
        <v>112569</v>
      </c>
      <c r="CJ77" s="6">
        <v>234794</v>
      </c>
      <c r="CK77" s="6">
        <v>90879</v>
      </c>
      <c r="CL77" s="6">
        <v>75959</v>
      </c>
      <c r="CM77" s="6"/>
      <c r="CN77" s="6"/>
      <c r="CO77" s="6">
        <v>619130</v>
      </c>
      <c r="CP77" s="6">
        <v>149952</v>
      </c>
      <c r="CQ77" s="6">
        <v>2814225</v>
      </c>
      <c r="CR77" s="6"/>
      <c r="CS77" s="6"/>
      <c r="CT77" s="6"/>
      <c r="CU77" s="6"/>
      <c r="CV77" s="6"/>
      <c r="CW77" s="6"/>
      <c r="CX77" s="6">
        <v>0</v>
      </c>
      <c r="CY77" s="6"/>
      <c r="CZ77" s="6"/>
      <c r="DB77" s="6"/>
      <c r="DC77" s="6"/>
      <c r="DF77" s="6"/>
      <c r="DG77" s="6"/>
      <c r="DH77" s="6"/>
      <c r="DI77" s="6"/>
      <c r="DJ77" s="6"/>
      <c r="DK77" s="6"/>
      <c r="DL77" s="6"/>
      <c r="DM77" s="6"/>
      <c r="DN77" s="6"/>
      <c r="DO77" s="6"/>
      <c r="DP77" s="6">
        <v>5600</v>
      </c>
      <c r="DU77" s="6">
        <f>VLOOKUP($A77,[3]Totals!$B$2:$K$119,10,FALSE)</f>
        <v>60648.07</v>
      </c>
      <c r="DV77" s="6">
        <f>VLOOKUP($A77,[3]Totals!$B$2:$K$119,9,FALSE)</f>
        <v>112569</v>
      </c>
    </row>
    <row r="78" spans="1:126" x14ac:dyDescent="0.2">
      <c r="A78" s="3">
        <v>288</v>
      </c>
      <c r="B78" s="2" t="s">
        <v>51</v>
      </c>
      <c r="C78" t="s">
        <v>7</v>
      </c>
      <c r="D78">
        <v>7</v>
      </c>
      <c r="E78" s="1">
        <v>326</v>
      </c>
      <c r="F78" s="4">
        <v>0.755</v>
      </c>
      <c r="G78">
        <v>246</v>
      </c>
      <c r="H78" s="6">
        <v>195277</v>
      </c>
      <c r="I78" s="6"/>
      <c r="J78" s="6"/>
      <c r="K78" s="6">
        <v>67876</v>
      </c>
      <c r="L78" s="6">
        <v>5875</v>
      </c>
      <c r="M78" s="6">
        <v>78183</v>
      </c>
      <c r="N78" s="6">
        <v>60194</v>
      </c>
      <c r="O78" s="6">
        <v>101190</v>
      </c>
      <c r="P78" s="6">
        <v>112569</v>
      </c>
      <c r="Q78" s="6"/>
      <c r="R78" s="6">
        <v>675414</v>
      </c>
      <c r="S78" s="6"/>
      <c r="T78" s="6">
        <v>224928</v>
      </c>
      <c r="U78" s="6"/>
      <c r="V78" s="6"/>
      <c r="W78" s="6"/>
      <c r="X78" s="6"/>
      <c r="Y78" s="6"/>
      <c r="Z78" s="6"/>
      <c r="AA78" s="6"/>
      <c r="AB78" s="6"/>
      <c r="AC78" s="6"/>
      <c r="AD78" s="6">
        <v>199756</v>
      </c>
      <c r="AE78" s="6">
        <v>112569</v>
      </c>
      <c r="AF78" s="6">
        <v>112569</v>
      </c>
      <c r="AG78" s="6">
        <v>562845</v>
      </c>
      <c r="AH78" s="6"/>
      <c r="AI78" s="6">
        <v>37488</v>
      </c>
      <c r="AJ78" s="6"/>
      <c r="AK78" s="6"/>
      <c r="AL78" s="6"/>
      <c r="AM78" s="6"/>
      <c r="AN78" s="6"/>
      <c r="AO78" s="6">
        <v>225138</v>
      </c>
      <c r="AP78" s="6"/>
      <c r="AQ78" s="6"/>
      <c r="AR78" s="6"/>
      <c r="AS78" s="6"/>
      <c r="AT78" s="6"/>
      <c r="AU78" s="6"/>
      <c r="AV78" s="6"/>
      <c r="AW78" s="6">
        <v>0</v>
      </c>
      <c r="AX78" s="6"/>
      <c r="AY78" s="6"/>
      <c r="AZ78" s="6">
        <v>147819.91</v>
      </c>
      <c r="BA78" s="6"/>
      <c r="BB78" s="6"/>
      <c r="BC78" s="6"/>
      <c r="BD78" s="6"/>
      <c r="BE78" s="6"/>
      <c r="BF78" s="6"/>
      <c r="BG78" s="6"/>
      <c r="BH78" s="6"/>
      <c r="BI78" s="6"/>
      <c r="BJ78" s="6"/>
      <c r="BK78" s="6"/>
      <c r="BL78" s="6"/>
      <c r="BM78" s="6"/>
      <c r="BN78" s="6"/>
      <c r="BO78" s="6"/>
      <c r="BP78" s="6"/>
      <c r="BQ78" s="6"/>
      <c r="BR78" s="6"/>
      <c r="BS78" s="6"/>
      <c r="BT78" s="6"/>
      <c r="BU78" s="6"/>
      <c r="BV78" s="6"/>
      <c r="BW78" s="6"/>
      <c r="BX78" s="6">
        <v>622753.92999999993</v>
      </c>
      <c r="BY78" s="6"/>
      <c r="BZ78" s="6"/>
      <c r="CA78" s="6"/>
      <c r="CB78" s="6"/>
      <c r="CC78" s="6"/>
      <c r="CD78" s="6"/>
      <c r="CE78" s="6"/>
      <c r="CF78" s="6">
        <v>0</v>
      </c>
      <c r="CG78" s="6">
        <f t="shared" si="3"/>
        <v>3542444.84</v>
      </c>
      <c r="CI78" s="6">
        <v>112569</v>
      </c>
      <c r="CJ78" s="6">
        <v>125223</v>
      </c>
      <c r="CK78" s="6">
        <v>90879</v>
      </c>
      <c r="CL78" s="6"/>
      <c r="CM78" s="6"/>
      <c r="CN78" s="6"/>
      <c r="CO78" s="6">
        <f>450276-DG78</f>
        <v>337707</v>
      </c>
      <c r="CP78" s="6">
        <v>74976</v>
      </c>
      <c r="CQ78" s="6">
        <v>1350828</v>
      </c>
      <c r="CR78" s="6"/>
      <c r="CS78" s="6"/>
      <c r="CT78" s="6"/>
      <c r="CU78" s="6"/>
      <c r="CV78" s="6"/>
      <c r="CW78" s="6"/>
      <c r="CX78" s="6">
        <v>0</v>
      </c>
      <c r="CY78" s="6"/>
      <c r="CZ78" s="6"/>
      <c r="DB78" s="6"/>
      <c r="DC78" s="6"/>
      <c r="DF78" s="6"/>
      <c r="DG78" s="6">
        <v>112569</v>
      </c>
      <c r="DH78" s="6"/>
      <c r="DI78" s="6"/>
      <c r="DJ78" s="6"/>
      <c r="DK78" s="6"/>
      <c r="DL78" s="6">
        <v>9883</v>
      </c>
      <c r="DM78" s="6"/>
      <c r="DN78" s="6"/>
      <c r="DO78" s="6"/>
      <c r="DP78" s="6">
        <v>29250</v>
      </c>
      <c r="DU78" s="6">
        <f>VLOOKUP($A78,[3]Totals!$B$2:$K$119,10,FALSE)</f>
        <v>275312.81</v>
      </c>
      <c r="DV78" s="6">
        <f>VLOOKUP($A78,[3]Totals!$B$2:$K$119,9,FALSE)</f>
        <v>205784</v>
      </c>
    </row>
    <row r="79" spans="1:126" x14ac:dyDescent="0.2">
      <c r="A79" s="3">
        <v>290</v>
      </c>
      <c r="B79" s="2" t="s">
        <v>50</v>
      </c>
      <c r="C79" t="s">
        <v>7</v>
      </c>
      <c r="D79">
        <v>5</v>
      </c>
      <c r="E79" s="1">
        <v>224</v>
      </c>
      <c r="F79" s="4">
        <v>0.65200000000000002</v>
      </c>
      <c r="G79">
        <v>146</v>
      </c>
      <c r="H79" s="6">
        <v>195277</v>
      </c>
      <c r="I79" s="6"/>
      <c r="J79" s="6"/>
      <c r="K79" s="6">
        <v>67876</v>
      </c>
      <c r="L79" s="6">
        <v>3978</v>
      </c>
      <c r="M79" s="6">
        <v>78183</v>
      </c>
      <c r="N79" s="6">
        <v>60194</v>
      </c>
      <c r="O79" s="6">
        <v>50595</v>
      </c>
      <c r="P79" s="6">
        <f>91547+15105+5917.07</f>
        <v>112569.07</v>
      </c>
      <c r="Q79" s="6">
        <v>112569</v>
      </c>
      <c r="R79" s="6">
        <v>112569</v>
      </c>
      <c r="S79" s="6">
        <v>112569</v>
      </c>
      <c r="T79" s="6">
        <v>112464</v>
      </c>
      <c r="U79" s="6"/>
      <c r="V79" s="6"/>
      <c r="W79" s="6"/>
      <c r="X79" s="6"/>
      <c r="Y79" s="6"/>
      <c r="Z79" s="6"/>
      <c r="AA79" s="6"/>
      <c r="AB79" s="6"/>
      <c r="AC79" s="6"/>
      <c r="AD79" s="6">
        <v>97395</v>
      </c>
      <c r="AE79" s="6">
        <v>112569</v>
      </c>
      <c r="AF79" s="6">
        <v>112569</v>
      </c>
      <c r="AG79" s="6">
        <v>787983</v>
      </c>
      <c r="AH79" s="6"/>
      <c r="AI79" s="6">
        <v>187440</v>
      </c>
      <c r="AJ79" s="6"/>
      <c r="AK79" s="6"/>
      <c r="AL79" s="6"/>
      <c r="AM79" s="6"/>
      <c r="AN79" s="6"/>
      <c r="AO79" s="6">
        <v>225138</v>
      </c>
      <c r="AP79" s="6"/>
      <c r="AQ79" s="6"/>
      <c r="AR79" s="6"/>
      <c r="AS79" s="6">
        <f>27200-13600</f>
        <v>13600</v>
      </c>
      <c r="AT79" s="6">
        <f>27200-13600</f>
        <v>13600</v>
      </c>
      <c r="AU79" s="6">
        <v>10200</v>
      </c>
      <c r="AV79" s="6"/>
      <c r="AW79" s="6">
        <v>27200</v>
      </c>
      <c r="AX79" s="6"/>
      <c r="AY79" s="6"/>
      <c r="AZ79" s="6">
        <v>101567.79000000001</v>
      </c>
      <c r="BA79" s="6"/>
      <c r="BB79" s="6"/>
      <c r="BC79" s="6"/>
      <c r="BD79" s="6"/>
      <c r="BE79" s="6"/>
      <c r="BF79" s="6"/>
      <c r="BG79" s="6"/>
      <c r="BH79" s="6"/>
      <c r="BI79" s="6"/>
      <c r="BJ79" s="6"/>
      <c r="BK79" s="6"/>
      <c r="BL79" s="6"/>
      <c r="BM79" s="6"/>
      <c r="BN79" s="6"/>
      <c r="BO79" s="6"/>
      <c r="BP79" s="6"/>
      <c r="BQ79" s="6"/>
      <c r="BR79" s="6"/>
      <c r="BS79" s="6"/>
      <c r="BT79" s="6"/>
      <c r="BU79" s="6"/>
      <c r="BV79" s="6"/>
      <c r="BW79" s="6"/>
      <c r="BX79" s="6">
        <v>369601.5</v>
      </c>
      <c r="BY79" s="6"/>
      <c r="BZ79" s="6"/>
      <c r="CA79" s="6"/>
      <c r="CB79" s="6"/>
      <c r="CC79" s="6"/>
      <c r="CD79" s="6"/>
      <c r="CE79" s="6"/>
      <c r="CF79" s="6">
        <v>112569</v>
      </c>
      <c r="CG79" s="6">
        <f t="shared" si="3"/>
        <v>3190275.3600000003</v>
      </c>
      <c r="CI79" s="6">
        <v>112569</v>
      </c>
      <c r="CJ79" s="6"/>
      <c r="CK79" s="6">
        <v>45440</v>
      </c>
      <c r="CL79" s="6"/>
      <c r="CM79" s="6"/>
      <c r="CN79" s="6"/>
      <c r="CO79" s="6">
        <v>337707</v>
      </c>
      <c r="CP79" s="6">
        <v>74976</v>
      </c>
      <c r="CQ79" s="6">
        <v>1125690</v>
      </c>
      <c r="CR79" s="6"/>
      <c r="CS79" s="6"/>
      <c r="CT79" s="6"/>
      <c r="CU79" s="6"/>
      <c r="CV79" s="6"/>
      <c r="CW79" s="6"/>
      <c r="CX79" s="6">
        <v>0</v>
      </c>
      <c r="CY79" s="6"/>
      <c r="CZ79" s="6"/>
      <c r="DB79" s="6"/>
      <c r="DC79" s="6"/>
      <c r="DF79" s="6"/>
      <c r="DG79" s="6"/>
      <c r="DH79" s="6"/>
      <c r="DI79" s="6"/>
      <c r="DJ79" s="6"/>
      <c r="DK79" s="6"/>
      <c r="DL79" s="6">
        <v>2915</v>
      </c>
      <c r="DM79" s="6"/>
      <c r="DN79" s="6"/>
      <c r="DO79" s="6"/>
      <c r="DP79" s="6">
        <v>17550</v>
      </c>
      <c r="DU79" s="6">
        <f>VLOOKUP($A79,[3]Totals!$B$2:$K$119,10,FALSE)</f>
        <v>106431.58</v>
      </c>
      <c r="DV79" s="6">
        <f>VLOOKUP($A79,[3]Totals!$B$2:$K$119,9,FALSE)</f>
        <v>0</v>
      </c>
    </row>
    <row r="80" spans="1:126" x14ac:dyDescent="0.2">
      <c r="A80" s="3">
        <v>292</v>
      </c>
      <c r="B80" s="2" t="s">
        <v>49</v>
      </c>
      <c r="C80" t="s">
        <v>4</v>
      </c>
      <c r="D80">
        <v>3</v>
      </c>
      <c r="E80" s="1">
        <v>761</v>
      </c>
      <c r="F80" s="4">
        <v>0.112</v>
      </c>
      <c r="G80">
        <v>85</v>
      </c>
      <c r="H80" s="6">
        <v>195277</v>
      </c>
      <c r="I80" s="6">
        <v>112569</v>
      </c>
      <c r="J80" s="6"/>
      <c r="K80" s="6">
        <v>67876</v>
      </c>
      <c r="L80" s="6">
        <v>8099</v>
      </c>
      <c r="M80" s="6">
        <v>156366</v>
      </c>
      <c r="N80" s="6">
        <v>60194</v>
      </c>
      <c r="O80" s="6">
        <v>202380</v>
      </c>
      <c r="P80" s="6">
        <v>225138</v>
      </c>
      <c r="Q80" s="6"/>
      <c r="R80" s="6"/>
      <c r="S80" s="6">
        <v>225138</v>
      </c>
      <c r="T80" s="6">
        <v>74976</v>
      </c>
      <c r="U80" s="6"/>
      <c r="V80" s="6"/>
      <c r="W80" s="6"/>
      <c r="X80" s="6"/>
      <c r="Y80" s="6"/>
      <c r="Z80" s="6"/>
      <c r="AA80" s="6"/>
      <c r="AB80" s="6"/>
      <c r="AC80" s="6"/>
      <c r="AD80" s="6">
        <v>266389</v>
      </c>
      <c r="AE80" s="6">
        <v>112569</v>
      </c>
      <c r="AF80" s="6">
        <v>225138</v>
      </c>
      <c r="AG80" s="6">
        <v>787983</v>
      </c>
      <c r="AH80" s="6"/>
      <c r="AI80" s="6"/>
      <c r="AJ80" s="6"/>
      <c r="AK80" s="6"/>
      <c r="AL80" s="6"/>
      <c r="AM80" s="6"/>
      <c r="AN80" s="6"/>
      <c r="AO80" s="6">
        <v>1013121</v>
      </c>
      <c r="AP80" s="6"/>
      <c r="AQ80" s="6"/>
      <c r="AR80" s="6"/>
      <c r="AS80" s="6"/>
      <c r="AT80" s="6"/>
      <c r="AU80" s="6"/>
      <c r="AV80" s="6"/>
      <c r="AW80" s="6">
        <v>0</v>
      </c>
      <c r="AX80" s="6"/>
      <c r="AY80" s="6"/>
      <c r="AZ80" s="6">
        <v>0</v>
      </c>
      <c r="BA80" s="6"/>
      <c r="BB80" s="6">
        <v>19025</v>
      </c>
      <c r="BC80" s="6"/>
      <c r="BD80" s="6"/>
      <c r="BE80" s="6"/>
      <c r="BF80" s="6"/>
      <c r="BG80" s="6"/>
      <c r="BH80" s="6"/>
      <c r="BI80" s="6"/>
      <c r="BJ80" s="6"/>
      <c r="BK80" s="6"/>
      <c r="BL80" s="6"/>
      <c r="BM80" s="6"/>
      <c r="BN80" s="6"/>
      <c r="BO80" s="6"/>
      <c r="BP80" s="6"/>
      <c r="BQ80" s="6"/>
      <c r="BR80" s="6"/>
      <c r="BS80" s="6">
        <v>500000</v>
      </c>
      <c r="BT80" s="6"/>
      <c r="BU80" s="6"/>
      <c r="BV80" s="6"/>
      <c r="BW80" s="6"/>
      <c r="BX80" s="6">
        <v>215179</v>
      </c>
      <c r="BY80" s="6"/>
      <c r="BZ80" s="6"/>
      <c r="CA80" s="6"/>
      <c r="CB80" s="6"/>
      <c r="CC80" s="6"/>
      <c r="CD80" s="6"/>
      <c r="CE80" s="6"/>
      <c r="CF80" s="6">
        <v>337707</v>
      </c>
      <c r="CG80" s="6">
        <f t="shared" si="3"/>
        <v>4805124</v>
      </c>
      <c r="CI80" s="6">
        <v>225138</v>
      </c>
      <c r="CJ80" s="6">
        <v>328711</v>
      </c>
      <c r="CK80" s="6">
        <v>90879</v>
      </c>
      <c r="CL80" s="6">
        <v>96214</v>
      </c>
      <c r="CM80" s="6"/>
      <c r="CN80" s="6"/>
      <c r="CO80" s="6">
        <f>731699-DG80</f>
        <v>619130</v>
      </c>
      <c r="CP80" s="6">
        <v>149952</v>
      </c>
      <c r="CQ80" s="6">
        <v>3962429</v>
      </c>
      <c r="CR80" s="6">
        <v>225138</v>
      </c>
      <c r="CS80" s="6">
        <v>23000</v>
      </c>
      <c r="CT80" s="6"/>
      <c r="CU80" s="6">
        <v>100000</v>
      </c>
      <c r="CV80" s="6"/>
      <c r="CW80" s="6"/>
      <c r="CX80" s="6">
        <v>0</v>
      </c>
      <c r="CY80" s="6"/>
      <c r="CZ80" s="6"/>
      <c r="DB80" s="6">
        <v>225138</v>
      </c>
      <c r="DC80" s="6"/>
      <c r="DF80" s="6"/>
      <c r="DG80" s="6">
        <v>112569</v>
      </c>
      <c r="DH80" s="6"/>
      <c r="DI80" s="6"/>
      <c r="DJ80" s="6"/>
      <c r="DK80" s="6"/>
      <c r="DL80" s="6"/>
      <c r="DM80" s="6"/>
      <c r="DN80" s="6"/>
      <c r="DO80" s="6"/>
      <c r="DP80" s="6">
        <v>7175</v>
      </c>
      <c r="DU80" s="6">
        <f>VLOOKUP($A80,[3]Totals!$B$2:$K$119,10,FALSE)</f>
        <v>90210.68</v>
      </c>
      <c r="DV80" s="6">
        <f>VLOOKUP($A80,[3]Totals!$B$2:$K$119,9,FALSE)</f>
        <v>168854</v>
      </c>
    </row>
    <row r="81" spans="1:126" x14ac:dyDescent="0.2">
      <c r="A81" s="3">
        <v>294</v>
      </c>
      <c r="B81" s="2" t="s">
        <v>48</v>
      </c>
      <c r="C81" t="s">
        <v>7</v>
      </c>
      <c r="D81">
        <v>8</v>
      </c>
      <c r="E81" s="1">
        <v>314</v>
      </c>
      <c r="F81" s="4">
        <v>0.85699999999999998</v>
      </c>
      <c r="G81">
        <v>269</v>
      </c>
      <c r="H81" s="6">
        <v>195277</v>
      </c>
      <c r="I81" s="6"/>
      <c r="J81" s="6"/>
      <c r="K81" s="6">
        <v>67876</v>
      </c>
      <c r="L81" s="6">
        <v>4924</v>
      </c>
      <c r="M81" s="6">
        <v>78183</v>
      </c>
      <c r="N81" s="6">
        <v>60194</v>
      </c>
      <c r="O81" s="6">
        <v>101190</v>
      </c>
      <c r="P81" s="6">
        <v>112569</v>
      </c>
      <c r="Q81" s="6">
        <v>225138</v>
      </c>
      <c r="R81" s="6"/>
      <c r="S81" s="6">
        <v>225138</v>
      </c>
      <c r="T81" s="6">
        <v>149952</v>
      </c>
      <c r="U81" s="6"/>
      <c r="V81" s="6"/>
      <c r="W81" s="6"/>
      <c r="X81" s="6"/>
      <c r="Y81" s="6"/>
      <c r="Z81" s="6"/>
      <c r="AA81" s="6"/>
      <c r="AB81" s="6"/>
      <c r="AC81" s="6"/>
      <c r="AD81" s="6">
        <v>121023</v>
      </c>
      <c r="AE81" s="6">
        <v>112569</v>
      </c>
      <c r="AF81" s="6">
        <v>112569</v>
      </c>
      <c r="AG81" s="6">
        <v>787983</v>
      </c>
      <c r="AH81" s="6"/>
      <c r="AI81" s="6">
        <v>262416</v>
      </c>
      <c r="AJ81" s="6"/>
      <c r="AK81" s="6"/>
      <c r="AL81" s="6"/>
      <c r="AM81" s="6"/>
      <c r="AN81" s="6"/>
      <c r="AO81" s="6"/>
      <c r="AP81" s="6">
        <v>5628</v>
      </c>
      <c r="AQ81" s="6"/>
      <c r="AR81" s="6"/>
      <c r="AS81" s="6">
        <f>54400-27200</f>
        <v>27200</v>
      </c>
      <c r="AT81" s="6">
        <f>54400-27200</f>
        <v>27200</v>
      </c>
      <c r="AU81" s="6">
        <v>10200</v>
      </c>
      <c r="AV81" s="6"/>
      <c r="AW81" s="6">
        <v>54400</v>
      </c>
      <c r="AX81" s="6"/>
      <c r="AY81" s="6"/>
      <c r="AZ81" s="6">
        <v>249028.39500000002</v>
      </c>
      <c r="BA81" s="6"/>
      <c r="BB81" s="6"/>
      <c r="BC81" s="6">
        <v>112569</v>
      </c>
      <c r="BD81" s="6"/>
      <c r="BE81" s="6"/>
      <c r="BF81" s="6"/>
      <c r="BG81" s="6"/>
      <c r="BH81" s="6"/>
      <c r="BI81" s="6"/>
      <c r="BJ81" s="6"/>
      <c r="BK81" s="6"/>
      <c r="BL81" s="6"/>
      <c r="BM81" s="6"/>
      <c r="BN81" s="6"/>
      <c r="BO81" s="6"/>
      <c r="BP81" s="6"/>
      <c r="BQ81" s="6"/>
      <c r="BR81" s="6"/>
      <c r="BS81" s="6"/>
      <c r="BT81" s="6"/>
      <c r="BU81" s="6"/>
      <c r="BV81" s="6"/>
      <c r="BW81" s="6"/>
      <c r="BX81" s="6">
        <v>680977</v>
      </c>
      <c r="BY81" s="6"/>
      <c r="BZ81" s="6"/>
      <c r="CA81" s="6"/>
      <c r="CB81" s="6"/>
      <c r="CC81" s="6">
        <v>791309</v>
      </c>
      <c r="CD81" s="6"/>
      <c r="CE81" s="6">
        <v>112569</v>
      </c>
      <c r="CF81" s="6">
        <v>0</v>
      </c>
      <c r="CG81" s="6">
        <f t="shared" si="3"/>
        <v>4688081.3949999996</v>
      </c>
      <c r="CI81" s="6">
        <v>112569</v>
      </c>
      <c r="CJ81" s="6">
        <v>125223</v>
      </c>
      <c r="CK81" s="6">
        <v>90879</v>
      </c>
      <c r="CL81" s="6"/>
      <c r="CM81" s="6"/>
      <c r="CN81" s="6"/>
      <c r="CO81" s="6">
        <f>506561-DG81</f>
        <v>337707</v>
      </c>
      <c r="CP81" s="6">
        <v>74976</v>
      </c>
      <c r="CQ81" s="6">
        <v>1350828</v>
      </c>
      <c r="CR81" s="6"/>
      <c r="CS81" s="6"/>
      <c r="CT81" s="6"/>
      <c r="CU81" s="6"/>
      <c r="CV81" s="6"/>
      <c r="CW81" s="6"/>
      <c r="CX81" s="6">
        <v>0</v>
      </c>
      <c r="CY81" s="6">
        <v>75000</v>
      </c>
      <c r="CZ81" s="6"/>
      <c r="DB81" s="6"/>
      <c r="DC81" s="6"/>
      <c r="DF81" s="6"/>
      <c r="DG81" s="6">
        <v>168854</v>
      </c>
      <c r="DH81" s="6"/>
      <c r="DI81" s="6"/>
      <c r="DJ81" s="6"/>
      <c r="DK81" s="6"/>
      <c r="DL81" s="6">
        <v>10812</v>
      </c>
      <c r="DM81" s="6"/>
      <c r="DN81" s="6"/>
      <c r="DO81" s="6"/>
      <c r="DP81" s="6">
        <v>27950</v>
      </c>
      <c r="DU81" s="6">
        <f>VLOOKUP($A81,[3]Totals!$B$2:$K$119,10,FALSE)</f>
        <v>134556.64000000001</v>
      </c>
      <c r="DV81" s="6">
        <f>VLOOKUP($A81,[3]Totals!$B$2:$K$119,9,FALSE)</f>
        <v>196265.3</v>
      </c>
    </row>
    <row r="82" spans="1:126" x14ac:dyDescent="0.2">
      <c r="A82" s="3">
        <v>295</v>
      </c>
      <c r="B82" s="2" t="s">
        <v>47</v>
      </c>
      <c r="C82" t="s">
        <v>7</v>
      </c>
      <c r="D82">
        <v>6</v>
      </c>
      <c r="E82" s="1">
        <v>324</v>
      </c>
      <c r="F82" s="4">
        <v>0.47799999999999998</v>
      </c>
      <c r="G82">
        <v>155</v>
      </c>
      <c r="H82" s="6">
        <v>195277</v>
      </c>
      <c r="I82" s="6"/>
      <c r="J82" s="6"/>
      <c r="K82" s="6">
        <v>67876</v>
      </c>
      <c r="L82" s="6">
        <v>6357</v>
      </c>
      <c r="M82" s="6">
        <v>78183</v>
      </c>
      <c r="N82" s="6">
        <v>60194</v>
      </c>
      <c r="O82" s="6">
        <v>101190</v>
      </c>
      <c r="P82" s="6">
        <v>112569</v>
      </c>
      <c r="Q82" s="6">
        <v>337707</v>
      </c>
      <c r="R82" s="6"/>
      <c r="S82" s="6">
        <v>225138</v>
      </c>
      <c r="T82" s="6">
        <v>187440</v>
      </c>
      <c r="U82" s="6"/>
      <c r="V82" s="6"/>
      <c r="W82" s="6"/>
      <c r="X82" s="6"/>
      <c r="Y82" s="6"/>
      <c r="Z82" s="6"/>
      <c r="AA82" s="6"/>
      <c r="AB82" s="6"/>
      <c r="AC82" s="6"/>
      <c r="AD82" s="6">
        <v>126736</v>
      </c>
      <c r="AE82" s="6">
        <v>112569</v>
      </c>
      <c r="AF82" s="6">
        <v>337707</v>
      </c>
      <c r="AG82" s="6">
        <v>900552</v>
      </c>
      <c r="AH82" s="6"/>
      <c r="AI82" s="6">
        <v>187440</v>
      </c>
      <c r="AJ82" s="6"/>
      <c r="AK82" s="6">
        <v>110030</v>
      </c>
      <c r="AL82" s="6"/>
      <c r="AM82" s="6"/>
      <c r="AN82" s="6"/>
      <c r="AO82" s="6"/>
      <c r="AP82" s="6">
        <v>30394</v>
      </c>
      <c r="AQ82" s="6"/>
      <c r="AR82" s="6"/>
      <c r="AS82" s="6">
        <f>68000-34000</f>
        <v>34000</v>
      </c>
      <c r="AT82" s="6">
        <f>68000-44000</f>
        <v>24000</v>
      </c>
      <c r="AU82" s="6">
        <v>10200</v>
      </c>
      <c r="AV82" s="6"/>
      <c r="AW82" s="6">
        <v>78200</v>
      </c>
      <c r="AX82" s="6"/>
      <c r="AY82" s="6"/>
      <c r="AZ82" s="6">
        <v>146910.84000000003</v>
      </c>
      <c r="BA82" s="6"/>
      <c r="BB82" s="6"/>
      <c r="BC82" s="6"/>
      <c r="BD82" s="6"/>
      <c r="BE82" s="6"/>
      <c r="BF82" s="6"/>
      <c r="BG82" s="6"/>
      <c r="BH82" s="6"/>
      <c r="BI82" s="6"/>
      <c r="BJ82" s="6"/>
      <c r="BK82" s="6"/>
      <c r="BL82" s="6"/>
      <c r="BM82" s="6"/>
      <c r="BN82" s="6"/>
      <c r="BO82" s="6"/>
      <c r="BP82" s="6"/>
      <c r="BQ82" s="6"/>
      <c r="BR82" s="6"/>
      <c r="BS82" s="6"/>
      <c r="BT82" s="6"/>
      <c r="BU82" s="6"/>
      <c r="BV82" s="6"/>
      <c r="BW82" s="6"/>
      <c r="BX82" s="6">
        <v>392386</v>
      </c>
      <c r="BY82" s="6"/>
      <c r="BZ82" s="6"/>
      <c r="CA82" s="6"/>
      <c r="CB82" s="6"/>
      <c r="CC82" s="6"/>
      <c r="CD82" s="6"/>
      <c r="CE82" s="6"/>
      <c r="CF82" s="6">
        <v>0</v>
      </c>
      <c r="CG82" s="6">
        <f t="shared" si="3"/>
        <v>3863055.84</v>
      </c>
      <c r="CI82" s="6">
        <v>112569</v>
      </c>
      <c r="CJ82" s="6">
        <v>125223</v>
      </c>
      <c r="CK82" s="6">
        <v>90879</v>
      </c>
      <c r="CL82" s="6"/>
      <c r="CM82" s="6"/>
      <c r="CN82" s="6"/>
      <c r="CO82" s="6">
        <v>337707</v>
      </c>
      <c r="CP82" s="6">
        <v>74976</v>
      </c>
      <c r="CQ82" s="6">
        <v>1238259</v>
      </c>
      <c r="CR82" s="6"/>
      <c r="CS82" s="6"/>
      <c r="CT82" s="6"/>
      <c r="CU82" s="6"/>
      <c r="CV82" s="6"/>
      <c r="CW82" s="6"/>
      <c r="CX82" s="6">
        <v>0</v>
      </c>
      <c r="CY82" s="6"/>
      <c r="CZ82" s="6"/>
      <c r="DB82" s="6"/>
      <c r="DC82" s="6"/>
      <c r="DF82" s="6"/>
      <c r="DG82" s="6"/>
      <c r="DH82" s="6"/>
      <c r="DI82" s="6"/>
      <c r="DJ82" s="6"/>
      <c r="DK82" s="6"/>
      <c r="DL82" s="6">
        <v>3100</v>
      </c>
      <c r="DM82" s="6"/>
      <c r="DN82" s="6"/>
      <c r="DO82" s="6"/>
      <c r="DP82" s="6">
        <v>10575</v>
      </c>
      <c r="DU82" s="6">
        <f>VLOOKUP($A82,[3]Totals!$B$2:$K$119,10,FALSE)</f>
        <v>139567.95000000001</v>
      </c>
      <c r="DV82" s="6">
        <f>VLOOKUP($A82,[3]Totals!$B$2:$K$119,9,FALSE)</f>
        <v>225138</v>
      </c>
    </row>
    <row r="83" spans="1:126" x14ac:dyDescent="0.2">
      <c r="A83" s="3">
        <v>301</v>
      </c>
      <c r="B83" s="2" t="s">
        <v>46</v>
      </c>
      <c r="C83" t="s">
        <v>7</v>
      </c>
      <c r="D83">
        <v>6</v>
      </c>
      <c r="E83" s="1">
        <v>219</v>
      </c>
      <c r="F83" s="4">
        <v>8.6999999999999994E-2</v>
      </c>
      <c r="G83">
        <v>19</v>
      </c>
      <c r="H83" s="6">
        <f>195277/2</f>
        <v>97638.5</v>
      </c>
      <c r="I83" s="6"/>
      <c r="J83" s="6"/>
      <c r="K83" s="6">
        <v>67876</v>
      </c>
      <c r="L83" s="6">
        <v>4181</v>
      </c>
      <c r="M83" s="6">
        <v>78183</v>
      </c>
      <c r="N83" s="6">
        <v>60194</v>
      </c>
      <c r="O83" s="6">
        <v>50595</v>
      </c>
      <c r="P83" s="6">
        <f>91547+15105+5917.07</f>
        <v>112569.07</v>
      </c>
      <c r="Q83" s="6">
        <v>450276</v>
      </c>
      <c r="R83" s="6"/>
      <c r="S83" s="6">
        <v>450276</v>
      </c>
      <c r="T83" s="6">
        <v>299904</v>
      </c>
      <c r="U83" s="6"/>
      <c r="V83" s="6"/>
      <c r="W83" s="6"/>
      <c r="X83" s="6"/>
      <c r="Y83" s="6"/>
      <c r="Z83" s="6"/>
      <c r="AA83" s="6"/>
      <c r="AB83" s="6"/>
      <c r="AC83" s="6"/>
      <c r="AD83" s="6">
        <v>81041</v>
      </c>
      <c r="AE83" s="6">
        <v>112569</v>
      </c>
      <c r="AF83" s="6">
        <v>112569</v>
      </c>
      <c r="AG83" s="6">
        <v>112569</v>
      </c>
      <c r="AH83" s="6"/>
      <c r="AI83" s="6"/>
      <c r="AJ83" s="6"/>
      <c r="AK83" s="6"/>
      <c r="AL83" s="6"/>
      <c r="AM83" s="6"/>
      <c r="AN83" s="6"/>
      <c r="AO83" s="6"/>
      <c r="AP83" s="6">
        <v>5628</v>
      </c>
      <c r="AQ83" s="6"/>
      <c r="AR83" s="6"/>
      <c r="AS83" s="6"/>
      <c r="AT83" s="6"/>
      <c r="AU83" s="6"/>
      <c r="AV83" s="6"/>
      <c r="AW83" s="6">
        <v>0</v>
      </c>
      <c r="AX83" s="6"/>
      <c r="AY83" s="6"/>
      <c r="AZ83" s="6">
        <v>0</v>
      </c>
      <c r="BA83" s="6"/>
      <c r="BB83" s="6">
        <v>5475</v>
      </c>
      <c r="BC83" s="6"/>
      <c r="BD83" s="6"/>
      <c r="BE83" s="6"/>
      <c r="BF83" s="6"/>
      <c r="BG83" s="6"/>
      <c r="BH83" s="6"/>
      <c r="BI83" s="6"/>
      <c r="BJ83" s="6"/>
      <c r="BK83" s="6"/>
      <c r="BL83" s="6"/>
      <c r="BM83" s="6"/>
      <c r="BN83" s="6"/>
      <c r="BO83" s="6"/>
      <c r="BP83" s="6"/>
      <c r="BQ83" s="6"/>
      <c r="BR83" s="6"/>
      <c r="BS83" s="6"/>
      <c r="BT83" s="6"/>
      <c r="BU83" s="6"/>
      <c r="BV83" s="6"/>
      <c r="BW83" s="6"/>
      <c r="BX83" s="6">
        <v>48099</v>
      </c>
      <c r="BY83" s="6"/>
      <c r="BZ83" s="6"/>
      <c r="CA83" s="6"/>
      <c r="CB83" s="6"/>
      <c r="CC83" s="6"/>
      <c r="CD83" s="6"/>
      <c r="CE83" s="6"/>
      <c r="CF83" s="6">
        <v>-112569</v>
      </c>
      <c r="CG83" s="6">
        <f t="shared" si="3"/>
        <v>2037073.5700000003</v>
      </c>
      <c r="CI83" s="6">
        <v>112569</v>
      </c>
      <c r="CJ83" s="6">
        <v>156529</v>
      </c>
      <c r="CK83" s="6">
        <v>45440</v>
      </c>
      <c r="CL83" s="6"/>
      <c r="CM83" s="6"/>
      <c r="CN83" s="6"/>
      <c r="CO83" s="6">
        <v>337707</v>
      </c>
      <c r="CP83" s="6">
        <v>149952</v>
      </c>
      <c r="CQ83" s="6">
        <v>450276</v>
      </c>
      <c r="CR83" s="6"/>
      <c r="CS83" s="6"/>
      <c r="CT83" s="6"/>
      <c r="CU83" s="6"/>
      <c r="CV83" s="6"/>
      <c r="CW83" s="6"/>
      <c r="CX83" s="6">
        <v>0</v>
      </c>
      <c r="CY83" s="6"/>
      <c r="CZ83" s="6"/>
      <c r="DB83" s="6"/>
      <c r="DC83" s="6"/>
      <c r="DF83" s="6"/>
      <c r="DG83" s="6"/>
      <c r="DH83" s="6"/>
      <c r="DI83" s="6"/>
      <c r="DJ83" s="6"/>
      <c r="DK83" s="6"/>
      <c r="DL83" s="6"/>
      <c r="DM83" s="6"/>
      <c r="DN83" s="6"/>
      <c r="DO83" s="6"/>
      <c r="DP83" s="6">
        <v>2544</v>
      </c>
      <c r="DU83" s="6">
        <f>VLOOKUP($A83,[3]Totals!$B$2:$K$119,10,FALSE)</f>
        <v>46680</v>
      </c>
      <c r="DV83" s="6">
        <f>VLOOKUP($A83,[3]Totals!$B$2:$K$119,9,FALSE)</f>
        <v>0</v>
      </c>
    </row>
    <row r="84" spans="1:126" x14ac:dyDescent="0.2">
      <c r="A84" s="3">
        <v>478</v>
      </c>
      <c r="B84" s="2" t="s">
        <v>45</v>
      </c>
      <c r="C84" t="s">
        <v>1</v>
      </c>
      <c r="D84">
        <v>5</v>
      </c>
      <c r="E84" s="1">
        <v>306</v>
      </c>
      <c r="F84" s="4">
        <v>0.64400000000000002</v>
      </c>
      <c r="G84">
        <v>197</v>
      </c>
      <c r="H84" s="6">
        <v>195277</v>
      </c>
      <c r="I84" s="6"/>
      <c r="J84" s="6">
        <v>190872</v>
      </c>
      <c r="K84" s="6">
        <v>67876</v>
      </c>
      <c r="L84" s="6">
        <v>8217</v>
      </c>
      <c r="M84" s="6">
        <v>78183</v>
      </c>
      <c r="N84" s="6">
        <v>60194</v>
      </c>
      <c r="O84" s="6">
        <v>151785</v>
      </c>
      <c r="P84" s="6">
        <v>112569</v>
      </c>
      <c r="Q84" s="6"/>
      <c r="R84" s="6"/>
      <c r="S84" s="6"/>
      <c r="T84" s="6"/>
      <c r="U84" s="6"/>
      <c r="V84" s="6"/>
      <c r="W84" s="6"/>
      <c r="X84" s="6"/>
      <c r="Y84" s="6"/>
      <c r="Z84" s="6"/>
      <c r="AA84" s="6">
        <v>112569</v>
      </c>
      <c r="AB84" s="6">
        <v>112569</v>
      </c>
      <c r="AC84" s="6"/>
      <c r="AD84" s="6">
        <v>132986</v>
      </c>
      <c r="AE84" s="6">
        <v>112569</v>
      </c>
      <c r="AF84" s="6">
        <v>112569</v>
      </c>
      <c r="AG84" s="6">
        <v>562845</v>
      </c>
      <c r="AH84" s="6"/>
      <c r="AI84" s="6"/>
      <c r="AJ84" s="6"/>
      <c r="AK84" s="6"/>
      <c r="AL84" s="6"/>
      <c r="AM84" s="6"/>
      <c r="AN84" s="6"/>
      <c r="AO84" s="6"/>
      <c r="AP84" s="6"/>
      <c r="AQ84" s="6"/>
      <c r="AR84" s="6"/>
      <c r="AS84" s="6"/>
      <c r="AT84" s="6"/>
      <c r="AU84" s="6"/>
      <c r="AV84" s="6">
        <v>40000</v>
      </c>
      <c r="AW84" s="6">
        <v>0</v>
      </c>
      <c r="AX84" s="6"/>
      <c r="AY84" s="6"/>
      <c r="AZ84" s="6">
        <v>138750.88999999998</v>
      </c>
      <c r="BA84" s="6"/>
      <c r="BB84" s="6"/>
      <c r="BC84" s="6"/>
      <c r="BD84" s="6"/>
      <c r="BE84" s="6"/>
      <c r="BF84" s="6"/>
      <c r="BG84" s="6"/>
      <c r="BH84" s="6"/>
      <c r="BI84" s="6"/>
      <c r="BJ84" s="6"/>
      <c r="BK84" s="6"/>
      <c r="BL84" s="6"/>
      <c r="BM84" s="6"/>
      <c r="BN84" s="6"/>
      <c r="BO84" s="6"/>
      <c r="BP84" s="6"/>
      <c r="BQ84" s="6"/>
      <c r="BR84" s="6"/>
      <c r="BS84" s="6"/>
      <c r="BT84" s="6"/>
      <c r="BU84" s="6">
        <v>144306</v>
      </c>
      <c r="BV84" s="6">
        <v>117087</v>
      </c>
      <c r="BW84" s="6"/>
      <c r="BX84" s="6">
        <v>552923</v>
      </c>
      <c r="BY84" s="6"/>
      <c r="BZ84" s="6"/>
      <c r="CA84" s="6"/>
      <c r="CB84" s="6"/>
      <c r="CC84" s="6">
        <v>50583</v>
      </c>
      <c r="CD84" s="6"/>
      <c r="CE84" s="6">
        <v>85000</v>
      </c>
      <c r="CF84" s="6">
        <v>225140</v>
      </c>
      <c r="CG84" s="6">
        <f t="shared" si="3"/>
        <v>3364869.89</v>
      </c>
      <c r="CI84" s="6">
        <v>112569</v>
      </c>
      <c r="CJ84" s="6">
        <v>156529</v>
      </c>
      <c r="CK84" s="6">
        <v>90879</v>
      </c>
      <c r="CL84" s="6"/>
      <c r="CM84" s="6">
        <v>56854</v>
      </c>
      <c r="CN84" s="6">
        <v>69509</v>
      </c>
      <c r="CO84" s="6"/>
      <c r="CP84" s="6"/>
      <c r="CQ84" s="6">
        <f>1902416-DH84</f>
        <v>1435254.6500000001</v>
      </c>
      <c r="CR84" s="6"/>
      <c r="CS84" s="6"/>
      <c r="CT84" s="6"/>
      <c r="CU84" s="6"/>
      <c r="CV84" s="6">
        <v>117087</v>
      </c>
      <c r="CW84" s="6"/>
      <c r="CX84" s="6">
        <v>24897</v>
      </c>
      <c r="CY84" s="6"/>
      <c r="CZ84" s="6"/>
      <c r="DB84" s="6"/>
      <c r="DC84" s="6"/>
      <c r="DF84" s="6"/>
      <c r="DG84" s="6"/>
      <c r="DH84" s="6">
        <f>'[2]pdf DetailxSch Pos'!AE83*'[2]pdf DetailxSch Pos'!AE$122</f>
        <v>467161.34999999986</v>
      </c>
      <c r="DI84" s="6"/>
      <c r="DJ84" s="6"/>
      <c r="DK84" s="6"/>
      <c r="DL84" s="6">
        <v>3948</v>
      </c>
      <c r="DM84" s="6"/>
      <c r="DN84" s="6"/>
      <c r="DO84" s="6"/>
      <c r="DP84" s="6">
        <v>6075</v>
      </c>
      <c r="DU84" s="6">
        <f>VLOOKUP($A84,[3]Totals!$B$2:$K$119,10,FALSE)</f>
        <v>109571.56</v>
      </c>
      <c r="DV84" s="6">
        <f>VLOOKUP($A84,[3]Totals!$B$2:$K$119,9,FALSE)</f>
        <v>81770.5</v>
      </c>
    </row>
    <row r="85" spans="1:126" x14ac:dyDescent="0.2">
      <c r="A85" s="3">
        <v>299</v>
      </c>
      <c r="B85" s="2" t="s">
        <v>44</v>
      </c>
      <c r="C85" t="s">
        <v>7</v>
      </c>
      <c r="D85">
        <v>7</v>
      </c>
      <c r="E85" s="1">
        <v>239</v>
      </c>
      <c r="F85" s="4">
        <v>0.84099999999999997</v>
      </c>
      <c r="G85">
        <v>201</v>
      </c>
      <c r="H85" s="6">
        <v>195277</v>
      </c>
      <c r="I85" s="6"/>
      <c r="J85" s="6"/>
      <c r="K85" s="6">
        <v>67876</v>
      </c>
      <c r="L85" s="6">
        <v>4307</v>
      </c>
      <c r="M85" s="6">
        <v>78183</v>
      </c>
      <c r="N85" s="6">
        <v>60194</v>
      </c>
      <c r="O85" s="6">
        <v>50595</v>
      </c>
      <c r="P85" s="6">
        <f>91547+15105+5917.07</f>
        <v>112569.07</v>
      </c>
      <c r="Q85" s="6"/>
      <c r="R85" s="6">
        <v>450276</v>
      </c>
      <c r="S85" s="6"/>
      <c r="T85" s="6">
        <v>149952</v>
      </c>
      <c r="U85" s="6"/>
      <c r="V85" s="6"/>
      <c r="W85" s="6"/>
      <c r="X85" s="6"/>
      <c r="Y85" s="6"/>
      <c r="Z85" s="6"/>
      <c r="AA85" s="6"/>
      <c r="AB85" s="6"/>
      <c r="AC85" s="6"/>
      <c r="AD85" s="6">
        <v>98912</v>
      </c>
      <c r="AE85" s="6">
        <v>112569</v>
      </c>
      <c r="AF85" s="6">
        <v>112569</v>
      </c>
      <c r="AG85" s="6">
        <v>675414</v>
      </c>
      <c r="AH85" s="6"/>
      <c r="AI85" s="6">
        <v>224928</v>
      </c>
      <c r="AJ85" s="6"/>
      <c r="AK85" s="6"/>
      <c r="AL85" s="6"/>
      <c r="AM85" s="6"/>
      <c r="AN85" s="6"/>
      <c r="AO85" s="6">
        <v>112569</v>
      </c>
      <c r="AP85" s="6"/>
      <c r="AQ85" s="6"/>
      <c r="AR85" s="6"/>
      <c r="AS85" s="6">
        <f>47600-27200</f>
        <v>20400</v>
      </c>
      <c r="AT85" s="6">
        <f>47600-37300</f>
        <v>10300</v>
      </c>
      <c r="AU85" s="6">
        <v>10200</v>
      </c>
      <c r="AV85" s="6"/>
      <c r="AW85" s="6">
        <v>64600</v>
      </c>
      <c r="AX85" s="6"/>
      <c r="AY85" s="6"/>
      <c r="AZ85" s="6">
        <v>108370.65000000001</v>
      </c>
      <c r="BA85" s="6"/>
      <c r="BB85" s="6"/>
      <c r="BC85" s="6"/>
      <c r="BD85" s="6"/>
      <c r="BE85" s="6"/>
      <c r="BF85" s="6"/>
      <c r="BG85" s="6"/>
      <c r="BH85" s="6"/>
      <c r="BI85" s="6"/>
      <c r="BJ85" s="6"/>
      <c r="BK85" s="6"/>
      <c r="BL85" s="6"/>
      <c r="BM85" s="6"/>
      <c r="BN85" s="6"/>
      <c r="BO85" s="6"/>
      <c r="BP85" s="6"/>
      <c r="BQ85" s="6"/>
      <c r="BR85" s="6"/>
      <c r="BS85" s="6"/>
      <c r="BT85" s="6"/>
      <c r="BU85" s="6"/>
      <c r="BV85" s="6"/>
      <c r="BW85" s="6"/>
      <c r="BX85" s="6">
        <v>508835.5</v>
      </c>
      <c r="BY85" s="6"/>
      <c r="BZ85" s="6"/>
      <c r="CA85" s="6"/>
      <c r="CB85" s="6"/>
      <c r="CC85" s="6">
        <v>283142</v>
      </c>
      <c r="CD85" s="6"/>
      <c r="CE85" s="6">
        <v>112569</v>
      </c>
      <c r="CF85" s="6">
        <v>168854</v>
      </c>
      <c r="CG85" s="6">
        <f t="shared" si="3"/>
        <v>3793461.22</v>
      </c>
      <c r="CI85" s="6">
        <v>112569</v>
      </c>
      <c r="CJ85" s="6"/>
      <c r="CK85" s="6">
        <v>45440</v>
      </c>
      <c r="CL85" s="6"/>
      <c r="CM85" s="6"/>
      <c r="CN85" s="6"/>
      <c r="CO85" s="6">
        <f>450276-DG85</f>
        <v>337707</v>
      </c>
      <c r="CP85" s="6">
        <v>74976</v>
      </c>
      <c r="CQ85" s="6">
        <v>1013121</v>
      </c>
      <c r="CR85" s="6"/>
      <c r="CS85" s="6"/>
      <c r="CT85" s="6"/>
      <c r="CU85" s="6"/>
      <c r="CV85" s="6"/>
      <c r="CW85" s="6"/>
      <c r="CX85" s="6">
        <v>0</v>
      </c>
      <c r="CY85" s="6"/>
      <c r="CZ85" s="6"/>
      <c r="DB85" s="6"/>
      <c r="DC85" s="6"/>
      <c r="DF85" s="6"/>
      <c r="DG85" s="6">
        <v>112569</v>
      </c>
      <c r="DH85" s="6"/>
      <c r="DI85" s="6"/>
      <c r="DJ85" s="6"/>
      <c r="DK85" s="6"/>
      <c r="DL85" s="6">
        <v>8076</v>
      </c>
      <c r="DM85" s="6"/>
      <c r="DN85" s="6"/>
      <c r="DO85" s="6"/>
      <c r="DP85" s="6">
        <v>25025</v>
      </c>
      <c r="DU85" s="6">
        <f>VLOOKUP($A85,[3]Totals!$B$2:$K$119,10,FALSE)</f>
        <v>169471.47</v>
      </c>
      <c r="DV85" s="6">
        <f>VLOOKUP($A85,[3]Totals!$B$2:$K$119,9,FALSE)</f>
        <v>189240</v>
      </c>
    </row>
    <row r="86" spans="1:126" x14ac:dyDescent="0.2">
      <c r="A86" s="3">
        <v>300</v>
      </c>
      <c r="B86" s="2" t="s">
        <v>43</v>
      </c>
      <c r="C86" t="s">
        <v>7</v>
      </c>
      <c r="D86">
        <v>4</v>
      </c>
      <c r="E86" s="1">
        <v>514</v>
      </c>
      <c r="F86" s="4">
        <v>0.39300000000000002</v>
      </c>
      <c r="G86">
        <v>202</v>
      </c>
      <c r="H86" s="6">
        <v>195277</v>
      </c>
      <c r="I86" s="6"/>
      <c r="J86" s="6"/>
      <c r="K86" s="6">
        <v>67876</v>
      </c>
      <c r="L86" s="6">
        <v>4517</v>
      </c>
      <c r="M86" s="6">
        <v>78183</v>
      </c>
      <c r="N86" s="6">
        <v>60194</v>
      </c>
      <c r="O86" s="6">
        <v>151785</v>
      </c>
      <c r="P86" s="6">
        <v>112569</v>
      </c>
      <c r="Q86" s="6"/>
      <c r="R86" s="6">
        <v>562845</v>
      </c>
      <c r="S86" s="6"/>
      <c r="T86" s="6">
        <v>187440</v>
      </c>
      <c r="U86" s="6"/>
      <c r="V86" s="6"/>
      <c r="W86" s="6"/>
      <c r="X86" s="6"/>
      <c r="Y86" s="6"/>
      <c r="Z86" s="6"/>
      <c r="AA86" s="6"/>
      <c r="AB86" s="6"/>
      <c r="AC86" s="6"/>
      <c r="AD86" s="6">
        <v>205539</v>
      </c>
      <c r="AE86" s="6">
        <v>112569</v>
      </c>
      <c r="AF86" s="6">
        <v>225138</v>
      </c>
      <c r="AG86" s="6">
        <v>787983</v>
      </c>
      <c r="AH86" s="6"/>
      <c r="AI86" s="6">
        <v>74976</v>
      </c>
      <c r="AJ86" s="6"/>
      <c r="AK86" s="6"/>
      <c r="AL86" s="6"/>
      <c r="AM86" s="6"/>
      <c r="AN86" s="6"/>
      <c r="AO86" s="6">
        <v>1688535</v>
      </c>
      <c r="AP86" s="6"/>
      <c r="AQ86" s="6"/>
      <c r="AR86" s="6"/>
      <c r="AS86" s="6">
        <f>95200-47600</f>
        <v>47600</v>
      </c>
      <c r="AT86" s="6">
        <f>95200-47600</f>
        <v>47600</v>
      </c>
      <c r="AU86" s="6"/>
      <c r="AV86" s="6"/>
      <c r="AW86" s="6">
        <v>95200</v>
      </c>
      <c r="AX86" s="6"/>
      <c r="AY86" s="6"/>
      <c r="AZ86" s="6">
        <v>233063.74000000002</v>
      </c>
      <c r="BA86" s="6"/>
      <c r="BB86" s="6"/>
      <c r="BC86" s="6"/>
      <c r="BD86" s="6"/>
      <c r="BE86" s="6"/>
      <c r="BF86" s="6"/>
      <c r="BG86" s="6"/>
      <c r="BH86" s="6"/>
      <c r="BI86" s="6"/>
      <c r="BJ86" s="6"/>
      <c r="BK86" s="6"/>
      <c r="BL86" s="6"/>
      <c r="BM86" s="6"/>
      <c r="BN86" s="6"/>
      <c r="BO86" s="6"/>
      <c r="BP86" s="6"/>
      <c r="BQ86" s="6"/>
      <c r="BR86" s="6"/>
      <c r="BS86" s="6"/>
      <c r="BT86" s="6"/>
      <c r="BU86" s="6"/>
      <c r="BV86" s="6"/>
      <c r="BW86" s="6"/>
      <c r="BX86" s="6">
        <v>511367</v>
      </c>
      <c r="BY86" s="6"/>
      <c r="BZ86" s="6"/>
      <c r="CA86" s="6"/>
      <c r="CB86" s="6"/>
      <c r="CC86" s="6"/>
      <c r="CD86" s="6"/>
      <c r="CE86" s="6"/>
      <c r="CF86" s="6">
        <v>10200</v>
      </c>
      <c r="CG86" s="6">
        <f t="shared" si="3"/>
        <v>5460456.7400000002</v>
      </c>
      <c r="CI86" s="6">
        <v>112569</v>
      </c>
      <c r="CJ86" s="6">
        <v>203488</v>
      </c>
      <c r="CK86" s="6">
        <v>90879</v>
      </c>
      <c r="CL86" s="6">
        <v>65831</v>
      </c>
      <c r="CM86" s="6"/>
      <c r="CN86" s="6"/>
      <c r="CO86" s="6">
        <v>506561</v>
      </c>
      <c r="CP86" s="6">
        <v>149952</v>
      </c>
      <c r="CQ86" s="6">
        <v>2476518</v>
      </c>
      <c r="CR86" s="6"/>
      <c r="CS86" s="6"/>
      <c r="CT86" s="6"/>
      <c r="CU86" s="6"/>
      <c r="CV86" s="6"/>
      <c r="CW86" s="6"/>
      <c r="CX86" s="6">
        <v>0</v>
      </c>
      <c r="CY86" s="6"/>
      <c r="CZ86" s="6"/>
      <c r="DB86" s="6">
        <v>337707</v>
      </c>
      <c r="DC86" s="6"/>
      <c r="DF86" s="6"/>
      <c r="DG86" s="6"/>
      <c r="DH86" s="6"/>
      <c r="DI86" s="6"/>
      <c r="DJ86" s="6"/>
      <c r="DK86" s="6"/>
      <c r="DL86" s="6">
        <v>4048</v>
      </c>
      <c r="DM86" s="6"/>
      <c r="DN86" s="6"/>
      <c r="DO86" s="6"/>
      <c r="DP86" s="6">
        <v>27500</v>
      </c>
      <c r="DU86" s="6">
        <f>VLOOKUP($A86,[3]Totals!$B$2:$K$119,10,FALSE)</f>
        <v>220932.61</v>
      </c>
      <c r="DV86" s="6">
        <f>VLOOKUP($A86,[3]Totals!$B$2:$K$119,9,FALSE)</f>
        <v>227087</v>
      </c>
    </row>
    <row r="87" spans="1:126" x14ac:dyDescent="0.2">
      <c r="A87" s="3">
        <v>316</v>
      </c>
      <c r="B87" s="2" t="s">
        <v>42</v>
      </c>
      <c r="C87" t="s">
        <v>7</v>
      </c>
      <c r="D87">
        <v>7</v>
      </c>
      <c r="E87" s="1">
        <v>331</v>
      </c>
      <c r="F87" s="4">
        <v>0.57099999999999995</v>
      </c>
      <c r="G87">
        <v>189</v>
      </c>
      <c r="H87" s="6">
        <v>195277</v>
      </c>
      <c r="I87" s="6"/>
      <c r="J87" s="6"/>
      <c r="K87" s="6">
        <v>67876</v>
      </c>
      <c r="L87" s="6">
        <v>5233</v>
      </c>
      <c r="M87" s="6">
        <v>78183</v>
      </c>
      <c r="N87" s="6">
        <v>60194</v>
      </c>
      <c r="O87" s="6">
        <v>101190</v>
      </c>
      <c r="P87" s="6">
        <v>112569</v>
      </c>
      <c r="Q87" s="6">
        <v>225138</v>
      </c>
      <c r="R87" s="6">
        <v>112569</v>
      </c>
      <c r="S87" s="6">
        <v>225138</v>
      </c>
      <c r="T87" s="6">
        <v>187440</v>
      </c>
      <c r="U87" s="6"/>
      <c r="V87" s="6"/>
      <c r="W87" s="6"/>
      <c r="X87" s="6"/>
      <c r="Y87" s="6"/>
      <c r="Z87" s="6"/>
      <c r="AA87" s="6"/>
      <c r="AB87" s="6"/>
      <c r="AC87" s="6"/>
      <c r="AD87" s="6">
        <v>115440</v>
      </c>
      <c r="AE87" s="6">
        <v>112569</v>
      </c>
      <c r="AF87" s="6">
        <v>112569</v>
      </c>
      <c r="AG87" s="6">
        <v>562845</v>
      </c>
      <c r="AH87" s="6"/>
      <c r="AI87" s="6"/>
      <c r="AJ87" s="6"/>
      <c r="AK87" s="6"/>
      <c r="AL87" s="6"/>
      <c r="AM87" s="6"/>
      <c r="AN87" s="6"/>
      <c r="AO87" s="6"/>
      <c r="AP87" s="6">
        <v>15760</v>
      </c>
      <c r="AQ87" s="6"/>
      <c r="AR87" s="6"/>
      <c r="AS87" s="6">
        <f>34000-20400</f>
        <v>13600</v>
      </c>
      <c r="AT87" s="6">
        <f>34000-30600</f>
        <v>3400</v>
      </c>
      <c r="AU87" s="6">
        <v>10200</v>
      </c>
      <c r="AV87" s="6"/>
      <c r="AW87" s="6">
        <v>51000</v>
      </c>
      <c r="AX87" s="6"/>
      <c r="AY87" s="6"/>
      <c r="AZ87" s="6">
        <v>150086.86000000002</v>
      </c>
      <c r="BA87" s="6"/>
      <c r="BB87" s="6"/>
      <c r="BC87" s="6"/>
      <c r="BD87" s="6"/>
      <c r="BE87" s="6"/>
      <c r="BF87" s="6"/>
      <c r="BG87" s="6"/>
      <c r="BH87" s="6"/>
      <c r="BI87" s="6"/>
      <c r="BJ87" s="6"/>
      <c r="BK87" s="6"/>
      <c r="BL87" s="6"/>
      <c r="BM87" s="6"/>
      <c r="BN87" s="6"/>
      <c r="BO87" s="6"/>
      <c r="BP87" s="6"/>
      <c r="BQ87" s="6"/>
      <c r="BR87" s="6">
        <v>13859</v>
      </c>
      <c r="BS87" s="6"/>
      <c r="BT87" s="6"/>
      <c r="BU87" s="6"/>
      <c r="BV87" s="6"/>
      <c r="BW87" s="6"/>
      <c r="BX87" s="6">
        <v>478457.58999999997</v>
      </c>
      <c r="BY87" s="6"/>
      <c r="BZ87" s="6"/>
      <c r="CA87" s="6"/>
      <c r="CB87" s="6"/>
      <c r="CC87" s="6"/>
      <c r="CD87" s="6"/>
      <c r="CE87" s="6">
        <v>112569</v>
      </c>
      <c r="CF87" s="6">
        <v>112569</v>
      </c>
      <c r="CG87" s="6">
        <f t="shared" si="3"/>
        <v>3235731.4499999997</v>
      </c>
      <c r="CI87" s="6">
        <v>112569</v>
      </c>
      <c r="CJ87" s="6">
        <v>125223</v>
      </c>
      <c r="CK87" s="6">
        <v>90879</v>
      </c>
      <c r="CL87" s="6"/>
      <c r="CM87" s="6"/>
      <c r="CN87" s="6"/>
      <c r="CO87" s="6">
        <v>337707</v>
      </c>
      <c r="CP87" s="6">
        <v>74976</v>
      </c>
      <c r="CQ87" s="6">
        <v>1350828</v>
      </c>
      <c r="CR87" s="6"/>
      <c r="CS87" s="6"/>
      <c r="CT87" s="6"/>
      <c r="CU87" s="6"/>
      <c r="CV87" s="6"/>
      <c r="CW87" s="6"/>
      <c r="CX87" s="6">
        <v>0</v>
      </c>
      <c r="CY87" s="6"/>
      <c r="CZ87" s="6"/>
      <c r="DB87" s="6"/>
      <c r="DC87" s="6"/>
      <c r="DF87" s="6"/>
      <c r="DG87" s="6"/>
      <c r="DH87" s="6"/>
      <c r="DI87" s="6"/>
      <c r="DJ87" s="6"/>
      <c r="DK87" s="6"/>
      <c r="DL87" s="6">
        <v>3776</v>
      </c>
      <c r="DM87" s="6"/>
      <c r="DN87" s="6"/>
      <c r="DO87" s="6"/>
      <c r="DP87" s="6">
        <v>24375</v>
      </c>
      <c r="DU87" s="6">
        <f>VLOOKUP($A87,[3]Totals!$B$2:$K$119,10,FALSE)</f>
        <v>109208.97</v>
      </c>
      <c r="DV87" s="6">
        <f>VLOOKUP($A87,[3]Totals!$B$2:$K$119,9,FALSE)</f>
        <v>224569</v>
      </c>
    </row>
    <row r="88" spans="1:126" x14ac:dyDescent="0.2">
      <c r="A88" s="3">
        <v>302</v>
      </c>
      <c r="B88" s="2" t="s">
        <v>41</v>
      </c>
      <c r="C88" t="s">
        <v>7</v>
      </c>
      <c r="D88">
        <v>4</v>
      </c>
      <c r="E88" s="1">
        <v>473</v>
      </c>
      <c r="F88" s="4">
        <v>0.53900000000000003</v>
      </c>
      <c r="G88">
        <v>255</v>
      </c>
      <c r="H88" s="6">
        <v>195277</v>
      </c>
      <c r="I88" s="6"/>
      <c r="J88" s="6"/>
      <c r="K88" s="6">
        <v>67876</v>
      </c>
      <c r="L88" s="6">
        <v>5138</v>
      </c>
      <c r="M88" s="6">
        <v>78183</v>
      </c>
      <c r="N88" s="6">
        <v>60194</v>
      </c>
      <c r="O88" s="6">
        <v>101190</v>
      </c>
      <c r="P88" s="6">
        <v>112569</v>
      </c>
      <c r="Q88" s="6">
        <v>337707</v>
      </c>
      <c r="R88" s="6"/>
      <c r="S88" s="6">
        <v>337707</v>
      </c>
      <c r="T88" s="6">
        <v>224928</v>
      </c>
      <c r="U88" s="6"/>
      <c r="V88" s="6"/>
      <c r="W88" s="6"/>
      <c r="X88" s="6"/>
      <c r="Y88" s="6"/>
      <c r="Z88" s="6"/>
      <c r="AA88" s="6"/>
      <c r="AB88" s="6"/>
      <c r="AC88" s="6"/>
      <c r="AD88" s="6">
        <v>194660</v>
      </c>
      <c r="AE88" s="6">
        <v>112569</v>
      </c>
      <c r="AF88" s="6">
        <v>225138</v>
      </c>
      <c r="AG88" s="6">
        <v>900552</v>
      </c>
      <c r="AH88" s="6"/>
      <c r="AI88" s="6">
        <v>224928</v>
      </c>
      <c r="AJ88" s="6"/>
      <c r="AK88" s="6"/>
      <c r="AL88" s="6"/>
      <c r="AM88" s="6"/>
      <c r="AN88" s="6"/>
      <c r="AO88" s="6">
        <v>1350828</v>
      </c>
      <c r="AP88" s="6"/>
      <c r="AQ88" s="6"/>
      <c r="AR88" s="6"/>
      <c r="AS88" s="6">
        <f>47600-27200</f>
        <v>20400</v>
      </c>
      <c r="AT88" s="6">
        <f>47600-37400</f>
        <v>10200</v>
      </c>
      <c r="AU88" s="6">
        <v>10200</v>
      </c>
      <c r="AV88" s="6"/>
      <c r="AW88" s="6">
        <v>64600</v>
      </c>
      <c r="AX88" s="6"/>
      <c r="AY88" s="6"/>
      <c r="AZ88" s="6">
        <v>150697.28</v>
      </c>
      <c r="BA88" s="6"/>
      <c r="BB88" s="6"/>
      <c r="BC88" s="6"/>
      <c r="BD88" s="6"/>
      <c r="BE88" s="6"/>
      <c r="BF88" s="6"/>
      <c r="BG88" s="6"/>
      <c r="BH88" s="6"/>
      <c r="BI88" s="6"/>
      <c r="BJ88" s="6"/>
      <c r="BK88" s="6"/>
      <c r="BL88" s="6"/>
      <c r="BM88" s="6"/>
      <c r="BN88" s="6"/>
      <c r="BO88" s="6"/>
      <c r="BP88" s="6"/>
      <c r="BQ88" s="6"/>
      <c r="BR88" s="6"/>
      <c r="BS88" s="6"/>
      <c r="BT88" s="6"/>
      <c r="BU88" s="6"/>
      <c r="BV88" s="6"/>
      <c r="BW88" s="6"/>
      <c r="BX88" s="6">
        <v>645537.86</v>
      </c>
      <c r="BY88" s="6"/>
      <c r="BZ88" s="6"/>
      <c r="CA88" s="6"/>
      <c r="CB88" s="6"/>
      <c r="CC88" s="6"/>
      <c r="CD88" s="6"/>
      <c r="CE88" s="6"/>
      <c r="CF88" s="6">
        <v>0</v>
      </c>
      <c r="CG88" s="6">
        <f t="shared" si="3"/>
        <v>5431079.1400000006</v>
      </c>
      <c r="CI88" s="6">
        <v>112569</v>
      </c>
      <c r="CJ88" s="6">
        <v>187835</v>
      </c>
      <c r="CK88" s="6">
        <v>90879</v>
      </c>
      <c r="CL88" s="6">
        <v>60767</v>
      </c>
      <c r="CM88" s="6"/>
      <c r="CN88" s="6"/>
      <c r="CO88" s="6">
        <f>562845-DG88</f>
        <v>506561</v>
      </c>
      <c r="CP88" s="6">
        <v>112464</v>
      </c>
      <c r="CQ88" s="6">
        <v>2251380</v>
      </c>
      <c r="CR88" s="6"/>
      <c r="CS88" s="6"/>
      <c r="CT88" s="6"/>
      <c r="CU88" s="6"/>
      <c r="CV88" s="6"/>
      <c r="CW88" s="6"/>
      <c r="CX88" s="6">
        <v>0</v>
      </c>
      <c r="CY88" s="6"/>
      <c r="CZ88" s="6"/>
      <c r="DB88" s="6">
        <v>225138</v>
      </c>
      <c r="DC88" s="6"/>
      <c r="DF88" s="6"/>
      <c r="DG88" s="6">
        <v>56284</v>
      </c>
      <c r="DH88" s="6"/>
      <c r="DI88" s="6"/>
      <c r="DJ88" s="6"/>
      <c r="DK88" s="6"/>
      <c r="DL88" s="6">
        <v>5106</v>
      </c>
      <c r="DM88" s="6"/>
      <c r="DN88" s="6"/>
      <c r="DO88" s="6"/>
      <c r="DP88" s="6">
        <v>26950</v>
      </c>
      <c r="DU88" s="6">
        <f>VLOOKUP($A88,[3]Totals!$B$2:$K$119,10,FALSE)</f>
        <v>258729.92</v>
      </c>
      <c r="DV88" s="6">
        <f>VLOOKUP($A88,[3]Totals!$B$2:$K$119,9,FALSE)</f>
        <v>187557</v>
      </c>
    </row>
    <row r="89" spans="1:126" x14ac:dyDescent="0.2">
      <c r="A89" s="3">
        <v>304</v>
      </c>
      <c r="B89" s="2" t="s">
        <v>40</v>
      </c>
      <c r="C89" t="s">
        <v>39</v>
      </c>
      <c r="D89">
        <v>7</v>
      </c>
      <c r="E89" s="1">
        <v>132</v>
      </c>
      <c r="F89" s="4">
        <v>0.47</v>
      </c>
      <c r="G89">
        <v>62</v>
      </c>
      <c r="H89" s="6">
        <v>195277</v>
      </c>
      <c r="I89" s="6"/>
      <c r="J89" s="6"/>
      <c r="K89" s="6">
        <v>67876</v>
      </c>
      <c r="L89" s="6">
        <v>5047</v>
      </c>
      <c r="M89" s="6">
        <v>78183</v>
      </c>
      <c r="N89" s="6">
        <v>60194</v>
      </c>
      <c r="O89" s="6">
        <v>50595</v>
      </c>
      <c r="P89" s="6">
        <f t="shared" ref="P89:P94" si="4">91547+15105+5917.07</f>
        <v>112569.07</v>
      </c>
      <c r="Q89" s="6"/>
      <c r="R89" s="6"/>
      <c r="S89" s="6"/>
      <c r="T89" s="6"/>
      <c r="U89" s="6"/>
      <c r="V89" s="6"/>
      <c r="W89" s="6"/>
      <c r="X89" s="6"/>
      <c r="Y89" s="6"/>
      <c r="Z89" s="6"/>
      <c r="AA89" s="6"/>
      <c r="AB89" s="6"/>
      <c r="AC89" s="6"/>
      <c r="AD89" s="6">
        <v>111731</v>
      </c>
      <c r="AE89" s="6">
        <v>112569</v>
      </c>
      <c r="AF89" s="6">
        <v>112569</v>
      </c>
      <c r="AG89" s="6">
        <v>2363949</v>
      </c>
      <c r="AH89" s="6"/>
      <c r="AI89" s="6">
        <v>862224</v>
      </c>
      <c r="AJ89" s="6"/>
      <c r="AK89" s="6">
        <v>110030</v>
      </c>
      <c r="AL89" s="6"/>
      <c r="AM89" s="6"/>
      <c r="AN89" s="6"/>
      <c r="AO89" s="6">
        <v>112569</v>
      </c>
      <c r="AP89" s="6"/>
      <c r="AQ89" s="6"/>
      <c r="AR89" s="6"/>
      <c r="AS89" s="6">
        <f>54400-20400</f>
        <v>34000</v>
      </c>
      <c r="AT89" s="6">
        <f>74800-51000</f>
        <v>23800</v>
      </c>
      <c r="AU89" s="6">
        <v>10200</v>
      </c>
      <c r="AV89" s="6"/>
      <c r="AW89" s="6">
        <v>30600</v>
      </c>
      <c r="AX89" s="6"/>
      <c r="AY89" s="6"/>
      <c r="AZ89" s="6">
        <v>59854</v>
      </c>
      <c r="BA89" s="6"/>
      <c r="BB89" s="6"/>
      <c r="BC89" s="6"/>
      <c r="BD89" s="6"/>
      <c r="BE89" s="6"/>
      <c r="BF89" s="6"/>
      <c r="BG89" s="6"/>
      <c r="BH89" s="6"/>
      <c r="BI89" s="6"/>
      <c r="BJ89" s="6"/>
      <c r="BK89" s="6"/>
      <c r="BL89" s="6"/>
      <c r="BM89" s="6"/>
      <c r="BN89" s="6"/>
      <c r="BO89" s="6"/>
      <c r="BP89" s="6"/>
      <c r="BQ89" s="6"/>
      <c r="BR89" s="6"/>
      <c r="BS89" s="6"/>
      <c r="BT89" s="6"/>
      <c r="BU89" s="6"/>
      <c r="BV89" s="6"/>
      <c r="BW89" s="6"/>
      <c r="BX89" s="6">
        <v>174016</v>
      </c>
      <c r="BY89" s="6"/>
      <c r="BZ89" s="6"/>
      <c r="CA89" s="6"/>
      <c r="CB89" s="6"/>
      <c r="CC89" s="6"/>
      <c r="CD89" s="6"/>
      <c r="CE89" s="6"/>
      <c r="CF89" s="6">
        <v>0</v>
      </c>
      <c r="CG89" s="6">
        <f t="shared" si="3"/>
        <v>4687852.07</v>
      </c>
      <c r="CI89" s="6">
        <v>112569</v>
      </c>
      <c r="CJ89" s="6"/>
      <c r="CK89" s="6">
        <v>45440</v>
      </c>
      <c r="CL89" s="6"/>
      <c r="CM89" s="6"/>
      <c r="CN89" s="6"/>
      <c r="CO89" s="6">
        <v>337707</v>
      </c>
      <c r="CP89" s="6"/>
      <c r="CQ89" s="6">
        <v>619130</v>
      </c>
      <c r="CR89" s="6">
        <v>225138</v>
      </c>
      <c r="CS89" s="6">
        <v>23000</v>
      </c>
      <c r="CT89" s="6"/>
      <c r="CU89" s="6">
        <v>100000</v>
      </c>
      <c r="CV89" s="6"/>
      <c r="CW89" s="6"/>
      <c r="CX89" s="6">
        <v>0</v>
      </c>
      <c r="CY89" s="6"/>
      <c r="CZ89" s="6"/>
      <c r="DB89" s="6"/>
      <c r="DC89" s="6"/>
      <c r="DF89" s="6"/>
      <c r="DG89" s="6"/>
      <c r="DH89" s="6"/>
      <c r="DI89" s="6"/>
      <c r="DJ89" s="6"/>
      <c r="DK89" s="6"/>
      <c r="DL89" s="6">
        <v>1243</v>
      </c>
      <c r="DM89" s="6"/>
      <c r="DN89" s="6"/>
      <c r="DO89" s="6"/>
      <c r="DP89" s="6">
        <v>7053</v>
      </c>
      <c r="DU89" s="6">
        <f>VLOOKUP($A89,[3]Totals!$B$2:$K$119,10,FALSE)</f>
        <v>25135.54</v>
      </c>
      <c r="DV89" s="6">
        <f>VLOOKUP($A89,[3]Totals!$B$2:$K$119,9,FALSE)</f>
        <v>0</v>
      </c>
    </row>
    <row r="90" spans="1:126" x14ac:dyDescent="0.2">
      <c r="A90" s="3">
        <v>436</v>
      </c>
      <c r="B90" s="2" t="s">
        <v>38</v>
      </c>
      <c r="C90" t="s">
        <v>1</v>
      </c>
      <c r="D90">
        <v>7</v>
      </c>
      <c r="E90" s="1">
        <v>216</v>
      </c>
      <c r="F90" s="4">
        <v>0.875</v>
      </c>
      <c r="G90">
        <v>189</v>
      </c>
      <c r="H90" s="6">
        <v>195277</v>
      </c>
      <c r="I90" s="6"/>
      <c r="J90" s="6">
        <v>127248</v>
      </c>
      <c r="K90" s="6">
        <v>67876</v>
      </c>
      <c r="L90" s="6">
        <v>6387</v>
      </c>
      <c r="M90" s="6">
        <v>78183</v>
      </c>
      <c r="N90" s="6">
        <v>60194</v>
      </c>
      <c r="O90" s="6">
        <v>202380</v>
      </c>
      <c r="P90" s="6">
        <f t="shared" si="4"/>
        <v>112569.07</v>
      </c>
      <c r="Q90" s="6"/>
      <c r="R90" s="6"/>
      <c r="S90" s="6"/>
      <c r="T90" s="6"/>
      <c r="U90" s="6"/>
      <c r="V90" s="6"/>
      <c r="W90" s="6"/>
      <c r="X90" s="6"/>
      <c r="Y90" s="6"/>
      <c r="Z90" s="6"/>
      <c r="AA90" s="6">
        <v>225138</v>
      </c>
      <c r="AB90" s="6"/>
      <c r="AC90" s="6"/>
      <c r="AD90" s="6">
        <v>119795</v>
      </c>
      <c r="AE90" s="6">
        <v>112569</v>
      </c>
      <c r="AF90" s="6">
        <v>112569</v>
      </c>
      <c r="AG90" s="6">
        <v>787983</v>
      </c>
      <c r="AH90" s="6"/>
      <c r="AI90" s="6"/>
      <c r="AJ90" s="6"/>
      <c r="AK90" s="6"/>
      <c r="AL90" s="6"/>
      <c r="AM90" s="6"/>
      <c r="AN90" s="6"/>
      <c r="AO90" s="6"/>
      <c r="AP90" s="6">
        <v>5628</v>
      </c>
      <c r="AQ90" s="6"/>
      <c r="AR90" s="6"/>
      <c r="AS90" s="6"/>
      <c r="AT90" s="6"/>
      <c r="AU90" s="6"/>
      <c r="AV90" s="6">
        <v>60000</v>
      </c>
      <c r="AW90" s="6">
        <v>0</v>
      </c>
      <c r="AX90" s="6"/>
      <c r="AY90" s="6"/>
      <c r="AZ90" s="6">
        <v>312117.33999999997</v>
      </c>
      <c r="BA90" s="6"/>
      <c r="BB90" s="6"/>
      <c r="BC90" s="6"/>
      <c r="BD90" s="6">
        <v>156529</v>
      </c>
      <c r="BE90" s="6">
        <v>14666</v>
      </c>
      <c r="BF90" s="6">
        <v>20550</v>
      </c>
      <c r="BG90" s="6">
        <v>26000</v>
      </c>
      <c r="BH90" s="6"/>
      <c r="BI90" s="6"/>
      <c r="BJ90" s="6"/>
      <c r="BK90" s="6"/>
      <c r="BL90" s="6"/>
      <c r="BM90" s="6"/>
      <c r="BN90" s="6"/>
      <c r="BO90" s="6"/>
      <c r="BP90" s="6"/>
      <c r="BQ90" s="6"/>
      <c r="BR90" s="6"/>
      <c r="BS90" s="6"/>
      <c r="BT90" s="6"/>
      <c r="BU90" s="6"/>
      <c r="BV90" s="6"/>
      <c r="BW90" s="6"/>
      <c r="BX90" s="6">
        <v>530469</v>
      </c>
      <c r="BY90" s="6"/>
      <c r="BZ90" s="6"/>
      <c r="CA90" s="6"/>
      <c r="CB90" s="6"/>
      <c r="CC90" s="6">
        <v>912937</v>
      </c>
      <c r="CD90" s="6"/>
      <c r="CE90" s="6"/>
      <c r="CF90" s="6">
        <v>56285</v>
      </c>
      <c r="CG90" s="6">
        <f t="shared" si="3"/>
        <v>4303349.41</v>
      </c>
      <c r="CI90" s="6">
        <v>112569</v>
      </c>
      <c r="CJ90" s="6">
        <v>109570</v>
      </c>
      <c r="CK90" s="6">
        <v>45440</v>
      </c>
      <c r="CL90" s="6"/>
      <c r="CM90" s="6">
        <v>56854</v>
      </c>
      <c r="CN90" s="6">
        <v>69509</v>
      </c>
      <c r="CO90" s="6"/>
      <c r="CP90" s="6"/>
      <c r="CQ90" s="6">
        <f>2032996-DH90</f>
        <v>1013120.8600000001</v>
      </c>
      <c r="CR90" s="6"/>
      <c r="CS90" s="6"/>
      <c r="CT90" s="6"/>
      <c r="CU90" s="6"/>
      <c r="CV90" s="6">
        <v>117087</v>
      </c>
      <c r="CW90" s="6"/>
      <c r="CX90" s="6">
        <v>0</v>
      </c>
      <c r="CY90" s="6"/>
      <c r="CZ90" s="6"/>
      <c r="DB90" s="6"/>
      <c r="DC90" s="6"/>
      <c r="DF90" s="6"/>
      <c r="DG90" s="6"/>
      <c r="DH90" s="6">
        <f>'[2]pdf DetailxSch Pos'!AE89*'[2]pdf DetailxSch Pos'!AE$122</f>
        <v>1019875.1399999999</v>
      </c>
      <c r="DI90" s="6"/>
      <c r="DJ90" s="6">
        <v>112569</v>
      </c>
      <c r="DK90" s="6"/>
      <c r="DL90" s="6">
        <v>7612</v>
      </c>
      <c r="DM90" s="6"/>
      <c r="DN90" s="6">
        <v>117087</v>
      </c>
      <c r="DO90" s="6"/>
      <c r="DP90" s="6">
        <v>13475</v>
      </c>
      <c r="DU90" s="6">
        <f>VLOOKUP($A90,[3]Totals!$B$2:$K$119,10,FALSE)</f>
        <v>118974.25</v>
      </c>
      <c r="DV90" s="6">
        <f>VLOOKUP($A90,[3]Totals!$B$2:$K$119,9,FALSE)</f>
        <v>134015</v>
      </c>
    </row>
    <row r="91" spans="1:126" x14ac:dyDescent="0.2">
      <c r="A91" s="3">
        <v>459</v>
      </c>
      <c r="B91" s="2" t="s">
        <v>37</v>
      </c>
      <c r="C91" t="s">
        <v>1</v>
      </c>
      <c r="D91">
        <v>4</v>
      </c>
      <c r="E91" s="1">
        <v>790</v>
      </c>
      <c r="F91" s="4">
        <v>0.72699999999999998</v>
      </c>
      <c r="G91">
        <v>574</v>
      </c>
      <c r="H91" s="6">
        <v>195277</v>
      </c>
      <c r="I91" s="6"/>
      <c r="J91" s="6">
        <v>445368</v>
      </c>
      <c r="K91" s="6">
        <v>67876</v>
      </c>
      <c r="L91" s="6">
        <v>19264</v>
      </c>
      <c r="M91" s="6">
        <v>78183</v>
      </c>
      <c r="N91" s="6">
        <v>60194</v>
      </c>
      <c r="O91" s="6">
        <v>404760</v>
      </c>
      <c r="P91" s="6">
        <f t="shared" si="4"/>
        <v>112569.07</v>
      </c>
      <c r="Q91" s="6"/>
      <c r="R91" s="6"/>
      <c r="S91" s="6"/>
      <c r="T91" s="6"/>
      <c r="U91" s="6"/>
      <c r="V91" s="6"/>
      <c r="W91" s="6"/>
      <c r="X91" s="6"/>
      <c r="Y91" s="6"/>
      <c r="Z91" s="6"/>
      <c r="AA91" s="6">
        <v>225138</v>
      </c>
      <c r="AB91" s="6"/>
      <c r="AC91" s="6"/>
      <c r="AD91" s="6">
        <v>361282</v>
      </c>
      <c r="AE91" s="6">
        <v>225138</v>
      </c>
      <c r="AF91" s="6">
        <v>450276</v>
      </c>
      <c r="AG91" s="6">
        <v>1688535</v>
      </c>
      <c r="AH91" s="6"/>
      <c r="AI91" s="6">
        <v>262416</v>
      </c>
      <c r="AJ91" s="6"/>
      <c r="AK91" s="6">
        <v>55015</v>
      </c>
      <c r="AL91" s="6"/>
      <c r="AM91" s="6"/>
      <c r="AN91" s="6"/>
      <c r="AO91" s="6">
        <v>1801104</v>
      </c>
      <c r="AP91" s="6"/>
      <c r="AQ91" s="6">
        <v>74976</v>
      </c>
      <c r="AR91" s="6"/>
      <c r="AS91" s="6"/>
      <c r="AT91" s="6"/>
      <c r="AU91" s="6"/>
      <c r="AV91" s="6">
        <v>75000</v>
      </c>
      <c r="AW91" s="6">
        <v>0</v>
      </c>
      <c r="AX91" s="6"/>
      <c r="AY91" s="6"/>
      <c r="AZ91" s="6">
        <v>471867.19</v>
      </c>
      <c r="BA91" s="6"/>
      <c r="BB91" s="6"/>
      <c r="BC91" s="6"/>
      <c r="BD91" s="6">
        <v>156529</v>
      </c>
      <c r="BE91" s="6">
        <v>25216</v>
      </c>
      <c r="BF91" s="6">
        <v>10000</v>
      </c>
      <c r="BG91" s="6">
        <v>32000</v>
      </c>
      <c r="BH91" s="6"/>
      <c r="BI91" s="6"/>
      <c r="BJ91" s="6">
        <v>117087</v>
      </c>
      <c r="BK91" s="6"/>
      <c r="BL91" s="6"/>
      <c r="BM91" s="6"/>
      <c r="BN91" s="6">
        <v>112569</v>
      </c>
      <c r="BO91" s="6"/>
      <c r="BP91" s="6">
        <v>113946</v>
      </c>
      <c r="BQ91" s="6">
        <v>5000</v>
      </c>
      <c r="BR91" s="6"/>
      <c r="BS91" s="6"/>
      <c r="BT91" s="6"/>
      <c r="BU91" s="6">
        <v>144306</v>
      </c>
      <c r="BV91" s="6"/>
      <c r="BW91" s="6"/>
      <c r="BX91" s="6">
        <v>1611054</v>
      </c>
      <c r="BY91" s="6"/>
      <c r="BZ91" s="6"/>
      <c r="CA91" s="6"/>
      <c r="CB91" s="6"/>
      <c r="CC91" s="6"/>
      <c r="CD91" s="6"/>
      <c r="CE91" s="6"/>
      <c r="CF91" s="6">
        <v>56285</v>
      </c>
      <c r="CG91" s="6">
        <f t="shared" si="3"/>
        <v>9458230.2600000016</v>
      </c>
      <c r="CI91" s="6">
        <v>112569</v>
      </c>
      <c r="CJ91" s="6">
        <v>406975</v>
      </c>
      <c r="CK91" s="6">
        <v>90879</v>
      </c>
      <c r="CL91" s="6">
        <v>101278</v>
      </c>
      <c r="CM91" s="6">
        <v>56854</v>
      </c>
      <c r="CN91" s="6">
        <v>69509</v>
      </c>
      <c r="CO91" s="6"/>
      <c r="CP91" s="6"/>
      <c r="CQ91" s="6">
        <f>4488126-DH91</f>
        <v>3705396.2199999997</v>
      </c>
      <c r="CR91" s="6"/>
      <c r="CS91" s="6"/>
      <c r="CT91" s="6"/>
      <c r="CU91" s="6"/>
      <c r="CV91" s="6">
        <v>117087</v>
      </c>
      <c r="CW91" s="6"/>
      <c r="CX91" s="6">
        <v>0</v>
      </c>
      <c r="CY91" s="6">
        <v>75000</v>
      </c>
      <c r="CZ91" s="6"/>
      <c r="DB91" s="6"/>
      <c r="DC91" s="6">
        <v>381744</v>
      </c>
      <c r="DF91" s="6"/>
      <c r="DG91" s="6"/>
      <c r="DH91" s="6">
        <f>'[2]pdf DetailxSch Pos'!AE90*'[2]pdf DetailxSch Pos'!AE$122</f>
        <v>782729.78</v>
      </c>
      <c r="DI91" s="6"/>
      <c r="DJ91" s="6"/>
      <c r="DK91" s="6"/>
      <c r="DL91" s="6">
        <v>11508</v>
      </c>
      <c r="DM91" s="6"/>
      <c r="DN91" s="6">
        <v>117087</v>
      </c>
      <c r="DO91" s="6"/>
      <c r="DP91" s="6">
        <v>40125</v>
      </c>
      <c r="DU91" s="6">
        <f>VLOOKUP($A91,[3]Totals!$B$2:$K$119,10,FALSE)</f>
        <v>427087.38</v>
      </c>
      <c r="DV91" s="6">
        <f>VLOOKUP($A91,[3]Totals!$B$2:$K$119,9,FALSE)</f>
        <v>112569</v>
      </c>
    </row>
    <row r="92" spans="1:126" x14ac:dyDescent="0.2">
      <c r="A92" s="3">
        <v>456</v>
      </c>
      <c r="B92" s="2" t="s">
        <v>36</v>
      </c>
      <c r="C92" t="s">
        <v>35</v>
      </c>
      <c r="D92">
        <v>4</v>
      </c>
      <c r="E92" s="1">
        <v>695</v>
      </c>
      <c r="F92" s="4">
        <v>0</v>
      </c>
      <c r="G92">
        <v>0</v>
      </c>
      <c r="H92" s="6">
        <v>195277</v>
      </c>
      <c r="I92" s="6"/>
      <c r="J92" s="6">
        <v>318120</v>
      </c>
      <c r="K92" s="6">
        <v>67876</v>
      </c>
      <c r="L92" s="6">
        <v>6924</v>
      </c>
      <c r="M92" s="6">
        <v>78183</v>
      </c>
      <c r="N92" s="6">
        <v>60194</v>
      </c>
      <c r="O92" s="6">
        <v>50595</v>
      </c>
      <c r="P92" s="6">
        <f t="shared" si="4"/>
        <v>112569.07</v>
      </c>
      <c r="Q92" s="6"/>
      <c r="R92" s="6"/>
      <c r="S92" s="6"/>
      <c r="T92" s="6"/>
      <c r="U92" s="6"/>
      <c r="V92" s="6"/>
      <c r="W92" s="6"/>
      <c r="X92" s="6"/>
      <c r="Y92" s="6"/>
      <c r="Z92" s="6"/>
      <c r="AA92" s="6"/>
      <c r="AB92" s="6"/>
      <c r="AC92" s="6"/>
      <c r="AD92" s="6">
        <v>258374</v>
      </c>
      <c r="AE92" s="6">
        <v>112569</v>
      </c>
      <c r="AF92" s="6">
        <v>225138</v>
      </c>
      <c r="AG92" s="6">
        <v>1125690</v>
      </c>
      <c r="AH92" s="6"/>
      <c r="AI92" s="6"/>
      <c r="AJ92" s="6"/>
      <c r="AK92" s="6"/>
      <c r="AL92" s="6"/>
      <c r="AM92" s="6"/>
      <c r="AN92" s="6"/>
      <c r="AO92" s="6">
        <v>900552</v>
      </c>
      <c r="AP92" s="6"/>
      <c r="AQ92" s="6"/>
      <c r="AR92" s="6"/>
      <c r="AS92" s="6"/>
      <c r="AT92" s="6"/>
      <c r="AU92" s="6"/>
      <c r="AV92" s="6">
        <v>70000</v>
      </c>
      <c r="AW92" s="6">
        <v>0</v>
      </c>
      <c r="AX92" s="6"/>
      <c r="AY92" s="6"/>
      <c r="AZ92" s="6">
        <v>0</v>
      </c>
      <c r="BA92" s="6"/>
      <c r="BB92" s="6">
        <v>17375</v>
      </c>
      <c r="BC92" s="6"/>
      <c r="BD92" s="6"/>
      <c r="BE92" s="6"/>
      <c r="BF92" s="6"/>
      <c r="BG92" s="6"/>
      <c r="BH92" s="6"/>
      <c r="BI92" s="6"/>
      <c r="BJ92" s="6"/>
      <c r="BK92" s="6"/>
      <c r="BL92" s="6"/>
      <c r="BM92" s="6"/>
      <c r="BN92" s="6"/>
      <c r="BO92" s="6"/>
      <c r="BP92" s="6"/>
      <c r="BQ92" s="6"/>
      <c r="BR92" s="6"/>
      <c r="BS92" s="6"/>
      <c r="BT92" s="6"/>
      <c r="BU92" s="6"/>
      <c r="BV92" s="6"/>
      <c r="BW92" s="6"/>
      <c r="BX92" s="6">
        <v>0</v>
      </c>
      <c r="BY92" s="6"/>
      <c r="BZ92" s="6"/>
      <c r="CA92" s="6"/>
      <c r="CB92" s="6"/>
      <c r="CC92" s="6">
        <v>29156</v>
      </c>
      <c r="CD92" s="6"/>
      <c r="CE92" s="6">
        <v>112569</v>
      </c>
      <c r="CF92" s="6">
        <v>0</v>
      </c>
      <c r="CG92" s="6">
        <f t="shared" si="3"/>
        <v>3741161.0700000003</v>
      </c>
      <c r="CI92" s="6">
        <v>112569</v>
      </c>
      <c r="CJ92" s="6">
        <v>156529</v>
      </c>
      <c r="CK92" s="6">
        <v>90879</v>
      </c>
      <c r="CL92" s="6">
        <v>86086</v>
      </c>
      <c r="CM92" s="6"/>
      <c r="CN92" s="6">
        <v>69509</v>
      </c>
      <c r="CO92" s="6"/>
      <c r="CP92" s="6"/>
      <c r="CQ92" s="6">
        <v>2885143</v>
      </c>
      <c r="CR92" s="6"/>
      <c r="CS92" s="6"/>
      <c r="CT92" s="6"/>
      <c r="CU92" s="6"/>
      <c r="CV92" s="6"/>
      <c r="CW92" s="6"/>
      <c r="CX92" s="6">
        <v>0</v>
      </c>
      <c r="CY92" s="6">
        <v>75000</v>
      </c>
      <c r="CZ92" s="6"/>
      <c r="DB92" s="6"/>
      <c r="DC92" s="6">
        <v>254496</v>
      </c>
      <c r="DF92" s="6"/>
      <c r="DG92" s="6"/>
      <c r="DH92" s="6"/>
      <c r="DI92" s="6"/>
      <c r="DJ92" s="6"/>
      <c r="DK92" s="6"/>
      <c r="DL92" s="6"/>
      <c r="DM92" s="6">
        <v>5225</v>
      </c>
      <c r="DN92" s="6">
        <v>117087</v>
      </c>
      <c r="DO92" s="6">
        <v>150000</v>
      </c>
      <c r="DP92" s="6"/>
      <c r="DU92" s="6">
        <f>VLOOKUP($A92,[3]Totals!$B$2:$K$119,10,FALSE)</f>
        <v>408869.2</v>
      </c>
      <c r="DV92" s="6">
        <f>VLOOKUP($A92,[3]Totals!$B$2:$K$119,9,FALSE)</f>
        <v>366836.5</v>
      </c>
    </row>
    <row r="93" spans="1:126" x14ac:dyDescent="0.2">
      <c r="A93" s="3">
        <v>305</v>
      </c>
      <c r="B93" s="2" t="s">
        <v>33</v>
      </c>
      <c r="C93" t="s">
        <v>7</v>
      </c>
      <c r="D93">
        <v>2</v>
      </c>
      <c r="E93" s="1">
        <v>181</v>
      </c>
      <c r="F93" s="4">
        <v>2.1999999999999999E-2</v>
      </c>
      <c r="G93">
        <v>4</v>
      </c>
      <c r="H93" s="6">
        <v>195277</v>
      </c>
      <c r="I93" s="6"/>
      <c r="J93" s="6"/>
      <c r="K93" s="6">
        <v>67876</v>
      </c>
      <c r="L93" s="6">
        <v>3608</v>
      </c>
      <c r="M93" s="6">
        <v>78183</v>
      </c>
      <c r="N93" s="6">
        <v>60194</v>
      </c>
      <c r="O93" s="6">
        <v>50595</v>
      </c>
      <c r="P93" s="6">
        <f t="shared" si="4"/>
        <v>112569.07</v>
      </c>
      <c r="Q93" s="6"/>
      <c r="R93" s="6"/>
      <c r="S93" s="6">
        <v>112569</v>
      </c>
      <c r="T93" s="6">
        <v>37488</v>
      </c>
      <c r="U93" s="6"/>
      <c r="V93" s="6"/>
      <c r="W93" s="6"/>
      <c r="X93" s="6"/>
      <c r="Y93" s="6"/>
      <c r="Z93" s="6"/>
      <c r="AA93" s="6"/>
      <c r="AB93" s="6"/>
      <c r="AC93" s="6"/>
      <c r="AD93" s="6">
        <v>74399</v>
      </c>
      <c r="AE93" s="6">
        <v>112569</v>
      </c>
      <c r="AF93" s="6">
        <v>112569</v>
      </c>
      <c r="AG93" s="6">
        <v>225138</v>
      </c>
      <c r="AH93" s="6"/>
      <c r="AI93" s="6"/>
      <c r="AJ93" s="6"/>
      <c r="AK93" s="6"/>
      <c r="AL93" s="6"/>
      <c r="AM93" s="6"/>
      <c r="AN93" s="6"/>
      <c r="AO93" s="6">
        <v>225138</v>
      </c>
      <c r="AP93" s="6"/>
      <c r="AQ93" s="6"/>
      <c r="AR93" s="6"/>
      <c r="AS93" s="6"/>
      <c r="AT93" s="6"/>
      <c r="AU93" s="6"/>
      <c r="AV93" s="6"/>
      <c r="AW93" s="6">
        <v>0</v>
      </c>
      <c r="AX93" s="6"/>
      <c r="AY93" s="6"/>
      <c r="AZ93" s="6">
        <v>4525</v>
      </c>
      <c r="BA93" s="6"/>
      <c r="BC93" s="6"/>
      <c r="BD93" s="6"/>
      <c r="BE93" s="6"/>
      <c r="BF93" s="6"/>
      <c r="BG93" s="6"/>
      <c r="BH93" s="6"/>
      <c r="BI93" s="6"/>
      <c r="BJ93" s="6"/>
      <c r="BK93" s="6"/>
      <c r="BL93" s="6"/>
      <c r="BM93" s="6"/>
      <c r="BN93" s="6"/>
      <c r="BO93" s="6"/>
      <c r="BP93" s="6"/>
      <c r="BQ93" s="6"/>
      <c r="BR93" s="6"/>
      <c r="BS93" s="6"/>
      <c r="BT93" s="6"/>
      <c r="BU93" s="6"/>
      <c r="BV93" s="6"/>
      <c r="BW93" s="6"/>
      <c r="BX93" s="6">
        <v>10126</v>
      </c>
      <c r="BY93" s="6"/>
      <c r="BZ93" s="6"/>
      <c r="CA93" s="6"/>
      <c r="CB93" s="6"/>
      <c r="CC93" s="6"/>
      <c r="CD93" s="6"/>
      <c r="CE93" s="6"/>
      <c r="CF93" s="6">
        <v>56285</v>
      </c>
      <c r="CG93" s="6">
        <f t="shared" si="3"/>
        <v>1539108.07</v>
      </c>
      <c r="CI93" s="6">
        <v>112569</v>
      </c>
      <c r="CJ93" s="6"/>
      <c r="CK93" s="6">
        <v>45440</v>
      </c>
      <c r="CL93" s="6"/>
      <c r="CM93" s="6"/>
      <c r="CN93" s="6"/>
      <c r="CO93" s="6">
        <f>450276-DG93</f>
        <v>337707</v>
      </c>
      <c r="CP93" s="6">
        <v>74976</v>
      </c>
      <c r="CQ93" s="6">
        <v>1013121</v>
      </c>
      <c r="CR93" s="6"/>
      <c r="CS93" s="6"/>
      <c r="CT93" s="6"/>
      <c r="CU93" s="6"/>
      <c r="CV93" s="6"/>
      <c r="CW93" s="6"/>
      <c r="CX93" s="6">
        <v>0</v>
      </c>
      <c r="CY93" s="6"/>
      <c r="CZ93" s="6"/>
      <c r="DB93" s="6"/>
      <c r="DC93" s="6"/>
      <c r="DF93" s="6"/>
      <c r="DG93" s="6">
        <v>112569</v>
      </c>
      <c r="DH93" s="6"/>
      <c r="DI93" s="6"/>
      <c r="DJ93" s="6"/>
      <c r="DK93" s="6"/>
      <c r="DL93" s="6"/>
      <c r="DM93" s="6"/>
      <c r="DN93" s="6"/>
      <c r="DO93" s="6"/>
      <c r="DP93" s="6">
        <v>525</v>
      </c>
      <c r="DU93" s="6">
        <f>VLOOKUP($A93,[3]Totals!$B$2:$K$119,10,FALSE)</f>
        <v>23877</v>
      </c>
      <c r="DV93" s="6">
        <f>VLOOKUP($A93,[3]Totals!$B$2:$K$119,9,FALSE)</f>
        <v>56284.5</v>
      </c>
    </row>
    <row r="94" spans="1:126" x14ac:dyDescent="0.2">
      <c r="A94" s="3">
        <v>307</v>
      </c>
      <c r="B94" s="2" t="s">
        <v>32</v>
      </c>
      <c r="C94" t="s">
        <v>7</v>
      </c>
      <c r="D94">
        <v>8</v>
      </c>
      <c r="E94" s="1">
        <v>259</v>
      </c>
      <c r="F94" s="4">
        <v>0.81899999999999995</v>
      </c>
      <c r="G94">
        <v>212</v>
      </c>
      <c r="H94" s="6">
        <v>195277</v>
      </c>
      <c r="I94" s="6"/>
      <c r="J94" s="6"/>
      <c r="K94" s="6">
        <v>67876</v>
      </c>
      <c r="L94" s="6">
        <v>4408</v>
      </c>
      <c r="M94" s="6">
        <v>78183</v>
      </c>
      <c r="N94" s="6">
        <v>60194</v>
      </c>
      <c r="O94" s="6">
        <v>50595</v>
      </c>
      <c r="P94" s="6">
        <f t="shared" si="4"/>
        <v>112569.07</v>
      </c>
      <c r="Q94" s="6">
        <v>225138</v>
      </c>
      <c r="R94" s="6"/>
      <c r="S94" s="6">
        <v>225138</v>
      </c>
      <c r="T94" s="6">
        <v>149952</v>
      </c>
      <c r="U94" s="6"/>
      <c r="V94" s="6"/>
      <c r="W94" s="6"/>
      <c r="X94" s="6"/>
      <c r="Y94" s="6"/>
      <c r="Z94" s="6"/>
      <c r="AA94" s="6"/>
      <c r="AB94" s="6"/>
      <c r="AC94" s="6"/>
      <c r="AD94" s="6">
        <v>101220</v>
      </c>
      <c r="AE94" s="6">
        <v>112569</v>
      </c>
      <c r="AF94" s="6">
        <v>112569</v>
      </c>
      <c r="AG94" s="6">
        <v>787983</v>
      </c>
      <c r="AH94" s="6"/>
      <c r="AI94" s="6">
        <v>187440</v>
      </c>
      <c r="AJ94" s="6"/>
      <c r="AK94" s="6"/>
      <c r="AL94" s="6"/>
      <c r="AM94" s="6"/>
      <c r="AN94" s="6"/>
      <c r="AO94" s="6"/>
      <c r="AP94" s="6">
        <v>5628</v>
      </c>
      <c r="AQ94" s="6"/>
      <c r="AR94" s="6"/>
      <c r="AS94" s="6">
        <f>20400-18700</f>
        <v>1700</v>
      </c>
      <c r="AT94" s="6">
        <f>20400-18700</f>
        <v>1700</v>
      </c>
      <c r="AU94" s="6">
        <v>10200</v>
      </c>
      <c r="AV94" s="6"/>
      <c r="AW94" s="6">
        <v>37400</v>
      </c>
      <c r="AX94" s="6"/>
      <c r="AY94" s="6"/>
      <c r="AZ94" s="6">
        <v>117439.90000000001</v>
      </c>
      <c r="BA94" s="6"/>
      <c r="BB94" s="6"/>
      <c r="BC94" s="6"/>
      <c r="BD94" s="6"/>
      <c r="BE94" s="6"/>
      <c r="BF94" s="6"/>
      <c r="BG94" s="6"/>
      <c r="BH94" s="6"/>
      <c r="BI94" s="6"/>
      <c r="BJ94" s="6"/>
      <c r="BK94" s="6"/>
      <c r="BL94" s="6"/>
      <c r="BM94" s="6"/>
      <c r="BN94" s="6"/>
      <c r="BO94" s="6"/>
      <c r="BP94" s="6"/>
      <c r="BQ94" s="6"/>
      <c r="BR94" s="6"/>
      <c r="BS94" s="6"/>
      <c r="BT94" s="6"/>
      <c r="BU94" s="6"/>
      <c r="BV94" s="6"/>
      <c r="BW94" s="6"/>
      <c r="BX94" s="6">
        <v>536681.51</v>
      </c>
      <c r="BY94" s="6"/>
      <c r="BZ94" s="6"/>
      <c r="CA94" s="6"/>
      <c r="CB94" s="6"/>
      <c r="CC94" s="6">
        <v>44687</v>
      </c>
      <c r="CD94" s="6"/>
      <c r="CE94" s="6">
        <v>112569</v>
      </c>
      <c r="CF94" s="6">
        <v>112569</v>
      </c>
      <c r="CG94" s="6">
        <f t="shared" si="3"/>
        <v>3451685.4800000004</v>
      </c>
      <c r="CI94" s="6">
        <v>112569</v>
      </c>
      <c r="CJ94" s="6"/>
      <c r="CK94" s="6">
        <v>45440</v>
      </c>
      <c r="CL94" s="6"/>
      <c r="CM94" s="6"/>
      <c r="CN94" s="6"/>
      <c r="CO94" s="6">
        <v>337707</v>
      </c>
      <c r="CP94" s="6">
        <v>74976</v>
      </c>
      <c r="CQ94" s="6">
        <v>1125690</v>
      </c>
      <c r="CR94" s="6"/>
      <c r="CS94" s="6"/>
      <c r="CT94" s="6"/>
      <c r="CU94" s="6"/>
      <c r="CV94" s="6"/>
      <c r="CW94" s="6"/>
      <c r="CX94" s="6">
        <v>0</v>
      </c>
      <c r="CY94" s="6"/>
      <c r="CZ94" s="6"/>
      <c r="DB94" s="6"/>
      <c r="DC94" s="6"/>
      <c r="DF94" s="6"/>
      <c r="DG94" s="6"/>
      <c r="DH94" s="6"/>
      <c r="DI94" s="6"/>
      <c r="DJ94" s="6"/>
      <c r="DK94" s="6"/>
      <c r="DL94" s="6">
        <v>8521</v>
      </c>
      <c r="DM94" s="6"/>
      <c r="DN94" s="6"/>
      <c r="DO94" s="6"/>
      <c r="DP94" s="6">
        <v>22425</v>
      </c>
      <c r="DU94" s="6">
        <f>VLOOKUP($A94,[3]Totals!$B$2:$K$119,10,FALSE)</f>
        <v>227630.76</v>
      </c>
      <c r="DV94" s="6">
        <f>VLOOKUP($A94,[3]Totals!$B$2:$K$119,9,FALSE)</f>
        <v>492282</v>
      </c>
    </row>
    <row r="95" spans="1:126" x14ac:dyDescent="0.2">
      <c r="A95" s="3">
        <v>409</v>
      </c>
      <c r="B95" s="2" t="s">
        <v>31</v>
      </c>
      <c r="C95" t="s">
        <v>4</v>
      </c>
      <c r="D95">
        <v>2</v>
      </c>
      <c r="E95" s="1">
        <v>600</v>
      </c>
      <c r="F95" s="4">
        <v>0.26</v>
      </c>
      <c r="G95">
        <v>156</v>
      </c>
      <c r="H95" s="6">
        <v>195277</v>
      </c>
      <c r="I95" s="6">
        <v>112569</v>
      </c>
      <c r="J95" s="6"/>
      <c r="K95" s="6">
        <v>67876</v>
      </c>
      <c r="L95" s="6">
        <v>8017</v>
      </c>
      <c r="M95" s="6">
        <v>78183</v>
      </c>
      <c r="N95" s="6">
        <v>60194</v>
      </c>
      <c r="O95" s="6">
        <v>151785</v>
      </c>
      <c r="P95" s="6">
        <v>112569</v>
      </c>
      <c r="Q95" s="6">
        <v>225138</v>
      </c>
      <c r="R95" s="6">
        <v>112569</v>
      </c>
      <c r="S95" s="6">
        <v>225138</v>
      </c>
      <c r="T95" s="6">
        <v>187440</v>
      </c>
      <c r="U95" s="6"/>
      <c r="V95" s="6"/>
      <c r="W95" s="6"/>
      <c r="X95" s="6"/>
      <c r="Y95" s="6"/>
      <c r="Z95" s="6"/>
      <c r="AA95" s="6"/>
      <c r="AB95" s="6"/>
      <c r="AC95" s="6"/>
      <c r="AD95" s="6">
        <v>220637</v>
      </c>
      <c r="AE95" s="6">
        <v>112569</v>
      </c>
      <c r="AF95" s="6">
        <v>225138</v>
      </c>
      <c r="AG95" s="6">
        <v>1125690</v>
      </c>
      <c r="AH95" s="6"/>
      <c r="AI95" s="6">
        <v>187440</v>
      </c>
      <c r="AJ95" s="6"/>
      <c r="AK95" s="6"/>
      <c r="AL95" s="6">
        <v>117087</v>
      </c>
      <c r="AM95" s="6"/>
      <c r="AN95" s="6"/>
      <c r="AO95" s="6">
        <v>562845</v>
      </c>
      <c r="AP95" s="6"/>
      <c r="AQ95" s="6"/>
      <c r="AR95" s="6"/>
      <c r="AS95" s="6"/>
      <c r="AT95" s="6"/>
      <c r="AU95" s="6"/>
      <c r="AV95" s="6"/>
      <c r="AW95" s="6">
        <v>0</v>
      </c>
      <c r="AX95" s="6"/>
      <c r="AY95" s="6"/>
      <c r="AZ95" s="6">
        <v>0</v>
      </c>
      <c r="BA95" s="6"/>
      <c r="BB95" s="6">
        <v>15000</v>
      </c>
      <c r="BC95" s="6"/>
      <c r="BD95" s="6"/>
      <c r="BE95" s="6"/>
      <c r="BF95" s="6"/>
      <c r="BG95" s="6"/>
      <c r="BH95" s="6"/>
      <c r="BI95" s="6"/>
      <c r="BJ95" s="6"/>
      <c r="BK95" s="6"/>
      <c r="BL95" s="6"/>
      <c r="BM95" s="6"/>
      <c r="BN95" s="6"/>
      <c r="BO95" s="6"/>
      <c r="BP95" s="6"/>
      <c r="BQ95" s="6"/>
      <c r="BR95" s="6"/>
      <c r="BS95" s="6"/>
      <c r="BT95" s="6"/>
      <c r="BU95" s="6"/>
      <c r="BV95" s="6"/>
      <c r="BW95" s="6"/>
      <c r="BX95" s="6">
        <v>394917</v>
      </c>
      <c r="BY95" s="6"/>
      <c r="BZ95" s="6"/>
      <c r="CA95" s="6"/>
      <c r="CB95" s="6"/>
      <c r="CC95" s="6"/>
      <c r="CD95" s="6"/>
      <c r="CE95" s="6"/>
      <c r="CF95" s="6">
        <v>150057</v>
      </c>
      <c r="CG95" s="6">
        <f t="shared" si="3"/>
        <v>4648135</v>
      </c>
      <c r="CI95" s="6">
        <v>112569</v>
      </c>
      <c r="CJ95" s="6">
        <v>422628</v>
      </c>
      <c r="CK95" s="6">
        <v>90879</v>
      </c>
      <c r="CL95" s="6">
        <v>75959</v>
      </c>
      <c r="CM95" s="6"/>
      <c r="CN95" s="6"/>
      <c r="CO95" s="6">
        <v>337707</v>
      </c>
      <c r="CP95" s="6">
        <v>74976</v>
      </c>
      <c r="CQ95" s="6">
        <v>2825482</v>
      </c>
      <c r="CR95" s="6">
        <v>225138</v>
      </c>
      <c r="CS95" s="6">
        <v>23000</v>
      </c>
      <c r="CT95" s="6"/>
      <c r="CU95" s="6">
        <v>100000</v>
      </c>
      <c r="CV95" s="6"/>
      <c r="CW95" s="6"/>
      <c r="CX95" s="6">
        <v>0</v>
      </c>
      <c r="CY95" s="6"/>
      <c r="CZ95" s="6"/>
      <c r="DB95" s="6">
        <v>112569</v>
      </c>
      <c r="DC95" s="6"/>
      <c r="DF95" s="6"/>
      <c r="DG95" s="6"/>
      <c r="DH95" s="6"/>
      <c r="DI95" s="6"/>
      <c r="DJ95" s="6"/>
      <c r="DK95" s="6"/>
      <c r="DL95" s="6">
        <v>3117</v>
      </c>
      <c r="DM95" s="6"/>
      <c r="DN95" s="6"/>
      <c r="DO95" s="6"/>
      <c r="DP95" s="6">
        <v>24750</v>
      </c>
      <c r="DU95" s="6">
        <f>VLOOKUP($A95,[3]Totals!$B$2:$K$119,10,FALSE)</f>
        <v>103443.92</v>
      </c>
      <c r="DV95" s="6">
        <f>VLOOKUP($A95,[3]Totals!$B$2:$K$119,9,FALSE)</f>
        <v>112569</v>
      </c>
    </row>
    <row r="96" spans="1:126" x14ac:dyDescent="0.2">
      <c r="A96" s="3">
        <v>466</v>
      </c>
      <c r="B96" s="2" t="s">
        <v>30</v>
      </c>
      <c r="C96" t="s">
        <v>1</v>
      </c>
      <c r="D96">
        <v>2</v>
      </c>
      <c r="E96" s="1">
        <v>600</v>
      </c>
      <c r="F96" s="4">
        <v>0.16800000000000001</v>
      </c>
      <c r="G96">
        <v>101</v>
      </c>
      <c r="H96" s="6">
        <v>195277</v>
      </c>
      <c r="I96" s="6"/>
      <c r="J96" s="6">
        <v>318120</v>
      </c>
      <c r="K96" s="6">
        <v>67876</v>
      </c>
      <c r="L96" s="6">
        <v>7819</v>
      </c>
      <c r="M96" s="6">
        <v>78183</v>
      </c>
      <c r="N96" s="6">
        <v>60194</v>
      </c>
      <c r="O96" s="6">
        <v>151785</v>
      </c>
      <c r="P96" s="6">
        <v>112569</v>
      </c>
      <c r="Q96" s="6"/>
      <c r="R96" s="6"/>
      <c r="S96" s="6"/>
      <c r="T96" s="6"/>
      <c r="U96" s="6"/>
      <c r="V96" s="6"/>
      <c r="W96" s="6"/>
      <c r="X96" s="6"/>
      <c r="Y96" s="6"/>
      <c r="Z96" s="6"/>
      <c r="AA96" s="6"/>
      <c r="AB96" s="6"/>
      <c r="AC96" s="6"/>
      <c r="AD96" s="6">
        <v>210228</v>
      </c>
      <c r="AE96" s="6">
        <v>112569</v>
      </c>
      <c r="AF96" s="6">
        <v>112569</v>
      </c>
      <c r="AG96" s="6">
        <v>112569</v>
      </c>
      <c r="AH96" s="6"/>
      <c r="AI96" s="6"/>
      <c r="AJ96" s="6"/>
      <c r="AK96" s="6"/>
      <c r="AL96" s="6">
        <v>117087</v>
      </c>
      <c r="AM96" s="6"/>
      <c r="AN96" s="6"/>
      <c r="AO96" s="6"/>
      <c r="AP96" s="6">
        <v>10131</v>
      </c>
      <c r="AQ96" s="6"/>
      <c r="AR96" s="6"/>
      <c r="AS96" s="6"/>
      <c r="AT96" s="6"/>
      <c r="AU96" s="6"/>
      <c r="AV96" s="6"/>
      <c r="AW96" s="6">
        <v>0</v>
      </c>
      <c r="AX96" s="6"/>
      <c r="AY96" s="6"/>
      <c r="AZ96" s="6">
        <v>0</v>
      </c>
      <c r="BA96" s="6"/>
      <c r="BB96" s="6">
        <v>15000</v>
      </c>
      <c r="BC96" s="6"/>
      <c r="BD96" s="6"/>
      <c r="BE96" s="6"/>
      <c r="BF96" s="6"/>
      <c r="BG96" s="6"/>
      <c r="BH96" s="6"/>
      <c r="BI96" s="6"/>
      <c r="BJ96" s="6"/>
      <c r="BK96" s="6"/>
      <c r="BL96" s="6"/>
      <c r="BM96" s="6"/>
      <c r="BN96" s="6"/>
      <c r="BO96" s="6"/>
      <c r="BP96" s="6"/>
      <c r="BQ96" s="6"/>
      <c r="BR96" s="6"/>
      <c r="BS96" s="6">
        <v>519436</v>
      </c>
      <c r="BT96" s="6"/>
      <c r="BU96" s="6"/>
      <c r="BV96" s="6"/>
      <c r="BW96" s="6"/>
      <c r="BX96" s="6">
        <v>283479</v>
      </c>
      <c r="BY96" s="6"/>
      <c r="BZ96" s="6"/>
      <c r="CA96" s="6"/>
      <c r="CB96" s="6"/>
      <c r="CC96" s="6"/>
      <c r="CD96" s="6">
        <v>148035</v>
      </c>
      <c r="CE96" s="6"/>
      <c r="CF96" s="6">
        <v>168854</v>
      </c>
      <c r="CG96" s="6">
        <f t="shared" si="3"/>
        <v>2801780</v>
      </c>
      <c r="CI96" s="6">
        <v>112569</v>
      </c>
      <c r="CJ96" s="6">
        <v>313058</v>
      </c>
      <c r="CK96" s="6">
        <v>90879</v>
      </c>
      <c r="CL96" s="6">
        <v>75959</v>
      </c>
      <c r="CM96" s="6">
        <v>56854</v>
      </c>
      <c r="CN96" s="6">
        <v>69509</v>
      </c>
      <c r="CO96" s="6"/>
      <c r="CP96" s="6"/>
      <c r="CQ96" s="6">
        <f>2825482-DH96</f>
        <v>2814225.0999999996</v>
      </c>
      <c r="CR96" s="6"/>
      <c r="CS96" s="6"/>
      <c r="CT96" s="6"/>
      <c r="CU96" s="6"/>
      <c r="CV96" s="6">
        <v>117087</v>
      </c>
      <c r="CW96" s="6"/>
      <c r="CX96" s="6">
        <v>0</v>
      </c>
      <c r="CY96" s="6"/>
      <c r="CZ96" s="6"/>
      <c r="DB96" s="6"/>
      <c r="DC96" s="6"/>
      <c r="DF96" s="6"/>
      <c r="DG96" s="6"/>
      <c r="DH96" s="6">
        <f>'[2]pdf DetailxSch Pos'!AE95*'[2]pdf DetailxSch Pos'!AE$122</f>
        <v>11256.90000000016</v>
      </c>
      <c r="DI96" s="6"/>
      <c r="DJ96" s="6"/>
      <c r="DK96" s="6"/>
      <c r="DL96" s="6"/>
      <c r="DM96" s="6"/>
      <c r="DN96" s="6"/>
      <c r="DO96" s="6"/>
      <c r="DP96" s="6">
        <v>700</v>
      </c>
      <c r="DU96" s="6">
        <f>VLOOKUP($A96,[3]Totals!$B$2:$K$119,10,FALSE)</f>
        <v>74853.009999999995</v>
      </c>
      <c r="DV96" s="6">
        <f>VLOOKUP($A96,[3]Totals!$B$2:$K$119,9,FALSE)</f>
        <v>225138</v>
      </c>
    </row>
    <row r="97" spans="1:126" x14ac:dyDescent="0.2">
      <c r="A97" s="3">
        <v>943</v>
      </c>
      <c r="B97" s="2" t="s">
        <v>29</v>
      </c>
      <c r="C97" t="s">
        <v>7</v>
      </c>
      <c r="D97">
        <v>6</v>
      </c>
      <c r="E97" s="1">
        <v>311</v>
      </c>
      <c r="F97" s="4">
        <v>0.09</v>
      </c>
      <c r="G97">
        <v>28</v>
      </c>
      <c r="H97" s="6">
        <v>195277</v>
      </c>
      <c r="I97" s="6"/>
      <c r="J97" s="6"/>
      <c r="K97" s="6">
        <v>67876</v>
      </c>
      <c r="L97" s="6">
        <v>4529</v>
      </c>
      <c r="M97" s="6">
        <v>78183</v>
      </c>
      <c r="N97" s="6">
        <v>60194</v>
      </c>
      <c r="O97" s="6">
        <v>101190</v>
      </c>
      <c r="P97" s="6">
        <v>112569</v>
      </c>
      <c r="Q97" s="6">
        <v>225138</v>
      </c>
      <c r="R97" s="6"/>
      <c r="S97" s="6">
        <v>225138</v>
      </c>
      <c r="T97" s="6">
        <v>149952</v>
      </c>
      <c r="U97" s="6"/>
      <c r="V97" s="6"/>
      <c r="W97" s="6"/>
      <c r="X97" s="6"/>
      <c r="Y97" s="6"/>
      <c r="Z97" s="6"/>
      <c r="AA97" s="6"/>
      <c r="AB97" s="6"/>
      <c r="AC97" s="6"/>
      <c r="AD97" s="6">
        <v>125015</v>
      </c>
      <c r="AE97" s="6">
        <v>112569</v>
      </c>
      <c r="AF97" s="6">
        <v>112569</v>
      </c>
      <c r="AG97" s="6">
        <v>1125690</v>
      </c>
      <c r="AH97" s="6"/>
      <c r="AI97" s="6">
        <v>449856</v>
      </c>
      <c r="AJ97" s="6"/>
      <c r="AK97" s="6"/>
      <c r="AL97" s="6"/>
      <c r="AM97" s="6"/>
      <c r="AN97" s="6"/>
      <c r="AO97" s="6"/>
      <c r="AP97" s="6">
        <v>36022</v>
      </c>
      <c r="AQ97" s="6"/>
      <c r="AR97" s="6"/>
      <c r="AS97" s="6"/>
      <c r="AT97" s="6"/>
      <c r="AU97" s="6"/>
      <c r="AV97" s="6"/>
      <c r="AW97" s="6">
        <v>0</v>
      </c>
      <c r="AX97" s="6"/>
      <c r="AY97" s="6"/>
      <c r="AZ97" s="6">
        <v>0</v>
      </c>
      <c r="BA97" s="6"/>
      <c r="BB97" s="6">
        <v>7775</v>
      </c>
      <c r="BC97" s="6"/>
      <c r="BD97" s="6"/>
      <c r="BE97" s="6"/>
      <c r="BF97" s="6"/>
      <c r="BG97" s="6"/>
      <c r="BH97" s="6"/>
      <c r="BI97" s="6"/>
      <c r="BJ97" s="6"/>
      <c r="BK97" s="6"/>
      <c r="BL97" s="6"/>
      <c r="BM97" s="6"/>
      <c r="BN97" s="6"/>
      <c r="BO97" s="6"/>
      <c r="BP97" s="6"/>
      <c r="BQ97" s="6"/>
      <c r="BR97" s="6"/>
      <c r="BS97" s="6"/>
      <c r="BT97" s="6"/>
      <c r="BU97" s="6"/>
      <c r="BV97" s="6"/>
      <c r="BW97" s="6"/>
      <c r="BX97" s="6">
        <v>70883</v>
      </c>
      <c r="BY97" s="6"/>
      <c r="BZ97" s="6"/>
      <c r="CA97" s="6"/>
      <c r="CB97" s="6"/>
      <c r="CC97" s="6"/>
      <c r="CD97" s="6"/>
      <c r="CE97" s="6"/>
      <c r="CF97" s="6">
        <v>146285</v>
      </c>
      <c r="CG97" s="6">
        <f t="shared" si="3"/>
        <v>3406710</v>
      </c>
      <c r="CI97" s="6">
        <v>112569</v>
      </c>
      <c r="CJ97" s="6">
        <v>125223</v>
      </c>
      <c r="CK97" s="6">
        <v>90879</v>
      </c>
      <c r="CL97" s="6"/>
      <c r="CM97" s="6"/>
      <c r="CN97" s="6"/>
      <c r="CO97" s="6">
        <v>337707</v>
      </c>
      <c r="CP97" s="6">
        <v>74976</v>
      </c>
      <c r="CQ97" s="6">
        <v>1238259</v>
      </c>
      <c r="CR97" s="6"/>
      <c r="CS97" s="6"/>
      <c r="CT97" s="6"/>
      <c r="CU97" s="6"/>
      <c r="CV97" s="6"/>
      <c r="CW97" s="6"/>
      <c r="CX97" s="6">
        <v>0</v>
      </c>
      <c r="CY97" s="6"/>
      <c r="CZ97" s="6"/>
      <c r="DB97" s="6"/>
      <c r="DC97" s="6"/>
      <c r="DF97" s="6"/>
      <c r="DG97" s="6"/>
      <c r="DH97" s="6"/>
      <c r="DI97" s="6"/>
      <c r="DJ97" s="6"/>
      <c r="DK97" s="6"/>
      <c r="DL97" s="6"/>
      <c r="DM97" s="6"/>
      <c r="DN97" s="6"/>
      <c r="DO97" s="6"/>
      <c r="DP97" s="6">
        <v>1750</v>
      </c>
      <c r="DU97" s="6">
        <f>VLOOKUP($A97,[3]Totals!$B$2:$K$119,10,FALSE)</f>
        <v>40287.71</v>
      </c>
      <c r="DV97" s="6">
        <f>VLOOKUP($A97,[3]Totals!$B$2:$K$119,9,FALSE)</f>
        <v>22569</v>
      </c>
    </row>
    <row r="98" spans="1:126" x14ac:dyDescent="0.2">
      <c r="A98" s="3">
        <v>309</v>
      </c>
      <c r="B98" s="2" t="s">
        <v>28</v>
      </c>
      <c r="C98" t="s">
        <v>7</v>
      </c>
      <c r="D98">
        <v>6</v>
      </c>
      <c r="E98" s="1">
        <v>364</v>
      </c>
      <c r="F98" s="4">
        <v>0.41199999999999998</v>
      </c>
      <c r="G98">
        <v>150</v>
      </c>
      <c r="H98" s="6">
        <v>195277</v>
      </c>
      <c r="I98" s="6"/>
      <c r="J98" s="6"/>
      <c r="K98" s="6">
        <v>67876</v>
      </c>
      <c r="L98" s="6">
        <v>5108</v>
      </c>
      <c r="M98" s="6">
        <v>78183</v>
      </c>
      <c r="N98" s="6">
        <v>60194</v>
      </c>
      <c r="O98" s="6">
        <v>101190</v>
      </c>
      <c r="P98" s="6">
        <v>112569</v>
      </c>
      <c r="Q98" s="6">
        <v>337707</v>
      </c>
      <c r="R98" s="6"/>
      <c r="S98" s="6">
        <v>337707</v>
      </c>
      <c r="T98" s="6">
        <v>224928</v>
      </c>
      <c r="U98" s="6"/>
      <c r="V98" s="6"/>
      <c r="W98" s="6"/>
      <c r="X98" s="6"/>
      <c r="Y98" s="6"/>
      <c r="Z98" s="6"/>
      <c r="AA98" s="6"/>
      <c r="AB98" s="6"/>
      <c r="AC98" s="6"/>
      <c r="AD98" s="6">
        <v>153408</v>
      </c>
      <c r="AE98" s="6">
        <v>112569</v>
      </c>
      <c r="AF98" s="6">
        <v>225138</v>
      </c>
      <c r="AG98" s="6">
        <v>787983</v>
      </c>
      <c r="AH98" s="6"/>
      <c r="AI98" s="6">
        <v>299904</v>
      </c>
      <c r="AJ98" s="6"/>
      <c r="AK98" s="6"/>
      <c r="AL98" s="6">
        <v>117087</v>
      </c>
      <c r="AM98" s="6"/>
      <c r="AN98" s="6"/>
      <c r="AO98" s="6">
        <v>787983</v>
      </c>
      <c r="AP98" s="6"/>
      <c r="AQ98" s="6"/>
      <c r="AR98" s="6"/>
      <c r="AS98" s="6">
        <f>40800-20400</f>
        <v>20400</v>
      </c>
      <c r="AT98" s="6">
        <f>40800-20400</f>
        <v>20400</v>
      </c>
      <c r="AU98" s="6"/>
      <c r="AV98" s="6"/>
      <c r="AW98" s="6">
        <v>40800</v>
      </c>
      <c r="AX98" s="6"/>
      <c r="AY98" s="6"/>
      <c r="AZ98" s="6">
        <v>165049.5</v>
      </c>
      <c r="BA98" s="6"/>
      <c r="BB98" s="6"/>
      <c r="BC98" s="6"/>
      <c r="BD98" s="6"/>
      <c r="BE98" s="6"/>
      <c r="BF98" s="6"/>
      <c r="BG98" s="6"/>
      <c r="BH98" s="6"/>
      <c r="BI98" s="6"/>
      <c r="BJ98" s="6"/>
      <c r="BK98" s="6"/>
      <c r="BL98" s="6"/>
      <c r="BM98" s="6"/>
      <c r="BN98" s="6"/>
      <c r="BO98" s="6"/>
      <c r="BP98" s="6"/>
      <c r="BQ98" s="6"/>
      <c r="BR98" s="6"/>
      <c r="BS98" s="6"/>
      <c r="BT98" s="6"/>
      <c r="BU98" s="6"/>
      <c r="BV98" s="6"/>
      <c r="BW98" s="6"/>
      <c r="BX98" s="6">
        <v>379728</v>
      </c>
      <c r="BY98" s="6"/>
      <c r="BZ98" s="6"/>
      <c r="CA98" s="6"/>
      <c r="CB98" s="6"/>
      <c r="CC98" s="6"/>
      <c r="CD98" s="6"/>
      <c r="CE98" s="6"/>
      <c r="CF98" s="6">
        <v>122769</v>
      </c>
      <c r="CG98" s="6">
        <f t="shared" si="3"/>
        <v>4753957.5</v>
      </c>
      <c r="CI98" s="6">
        <v>112569</v>
      </c>
      <c r="CJ98" s="6">
        <v>140876</v>
      </c>
      <c r="CK98" s="6">
        <v>90879</v>
      </c>
      <c r="CL98" s="6"/>
      <c r="CM98" s="6"/>
      <c r="CN98" s="6"/>
      <c r="CO98" s="6">
        <f>450276-DG98</f>
        <v>337707</v>
      </c>
      <c r="CP98" s="6">
        <v>112464</v>
      </c>
      <c r="CQ98" s="6">
        <v>1463397</v>
      </c>
      <c r="CR98" s="6"/>
      <c r="CS98" s="6"/>
      <c r="CT98" s="6"/>
      <c r="CU98" s="6"/>
      <c r="CV98" s="6"/>
      <c r="CW98" s="6"/>
      <c r="CX98" s="6">
        <v>0</v>
      </c>
      <c r="CY98" s="6"/>
      <c r="CZ98" s="6"/>
      <c r="DB98" s="6">
        <v>112569</v>
      </c>
      <c r="DC98" s="6"/>
      <c r="DF98" s="6"/>
      <c r="DG98" s="6">
        <v>112569</v>
      </c>
      <c r="DH98" s="6"/>
      <c r="DI98" s="6"/>
      <c r="DJ98" s="6"/>
      <c r="DK98" s="6"/>
      <c r="DL98" s="6">
        <v>2993</v>
      </c>
      <c r="DM98" s="6"/>
      <c r="DN98" s="6"/>
      <c r="DO98" s="6"/>
      <c r="DP98" s="6">
        <v>10350</v>
      </c>
      <c r="DU98" s="6">
        <f>VLOOKUP($A98,[3]Totals!$B$2:$K$119,10,FALSE)</f>
        <v>128741.58</v>
      </c>
      <c r="DV98" s="6">
        <f>VLOOKUP($A98,[3]Totals!$B$2:$K$119,9,FALSE)</f>
        <v>112569</v>
      </c>
    </row>
    <row r="99" spans="1:126" x14ac:dyDescent="0.2">
      <c r="A99" s="3">
        <v>313</v>
      </c>
      <c r="B99" s="2" t="s">
        <v>27</v>
      </c>
      <c r="C99" t="s">
        <v>7</v>
      </c>
      <c r="D99">
        <v>4</v>
      </c>
      <c r="E99" s="1">
        <v>366</v>
      </c>
      <c r="F99" s="4">
        <v>0.123</v>
      </c>
      <c r="G99">
        <v>45</v>
      </c>
      <c r="H99" s="6">
        <v>195277</v>
      </c>
      <c r="I99" s="6"/>
      <c r="J99" s="6"/>
      <c r="K99" s="6">
        <v>67876</v>
      </c>
      <c r="L99" s="6">
        <v>6102</v>
      </c>
      <c r="M99" s="6">
        <v>78183</v>
      </c>
      <c r="N99" s="6">
        <v>60194</v>
      </c>
      <c r="O99" s="6">
        <v>101190</v>
      </c>
      <c r="P99" s="6">
        <v>112569</v>
      </c>
      <c r="Q99" s="6">
        <v>225138</v>
      </c>
      <c r="R99" s="6"/>
      <c r="S99" s="6">
        <v>225138</v>
      </c>
      <c r="T99" s="6">
        <v>149952</v>
      </c>
      <c r="U99" s="6"/>
      <c r="V99" s="6"/>
      <c r="W99" s="6"/>
      <c r="X99" s="6"/>
      <c r="Y99" s="6"/>
      <c r="Z99" s="6"/>
      <c r="AA99" s="6"/>
      <c r="AB99" s="6"/>
      <c r="AC99" s="6"/>
      <c r="AD99" s="6">
        <v>122887</v>
      </c>
      <c r="AE99" s="6">
        <v>112569</v>
      </c>
      <c r="AF99" s="6">
        <v>112569</v>
      </c>
      <c r="AG99" s="6">
        <v>337707</v>
      </c>
      <c r="AH99" s="6"/>
      <c r="AI99" s="6">
        <v>74976</v>
      </c>
      <c r="AJ99" s="6"/>
      <c r="AK99" s="6"/>
      <c r="AL99" s="6"/>
      <c r="AM99" s="6"/>
      <c r="AN99" s="6"/>
      <c r="AO99" s="6">
        <v>112569</v>
      </c>
      <c r="AP99" s="6"/>
      <c r="AQ99" s="6"/>
      <c r="AR99" s="6"/>
      <c r="AS99" s="6"/>
      <c r="AT99" s="6"/>
      <c r="AU99" s="6"/>
      <c r="AV99" s="6"/>
      <c r="AW99" s="6">
        <v>0</v>
      </c>
      <c r="AX99" s="6"/>
      <c r="AY99" s="6"/>
      <c r="AZ99" s="6">
        <v>0</v>
      </c>
      <c r="BA99" s="6"/>
      <c r="BB99" s="6">
        <v>9150</v>
      </c>
      <c r="BC99" s="6"/>
      <c r="BD99" s="6"/>
      <c r="BE99" s="6"/>
      <c r="BF99" s="6"/>
      <c r="BG99" s="6"/>
      <c r="BH99" s="6">
        <v>117087</v>
      </c>
      <c r="BI99" s="6">
        <v>20207</v>
      </c>
      <c r="BJ99" s="6"/>
      <c r="BK99" s="6"/>
      <c r="BL99" s="6"/>
      <c r="BM99" s="6"/>
      <c r="BN99" s="6"/>
      <c r="BO99" s="6"/>
      <c r="BP99" s="6"/>
      <c r="BQ99" s="6"/>
      <c r="BR99" s="6"/>
      <c r="BS99" s="6"/>
      <c r="BT99" s="6"/>
      <c r="BU99" s="6"/>
      <c r="BV99" s="6"/>
      <c r="BW99" s="6"/>
      <c r="BX99" s="6">
        <v>113918.54000000001</v>
      </c>
      <c r="BY99" s="6"/>
      <c r="BZ99" s="6"/>
      <c r="CA99" s="6"/>
      <c r="CB99" s="6"/>
      <c r="CC99" s="6">
        <v>4300</v>
      </c>
      <c r="CD99" s="6"/>
      <c r="CE99" s="6"/>
      <c r="CF99" s="6">
        <v>112569</v>
      </c>
      <c r="CG99" s="6">
        <f t="shared" si="3"/>
        <v>2472127.54</v>
      </c>
      <c r="CI99" s="6">
        <v>112569</v>
      </c>
      <c r="CJ99" s="6">
        <v>140876</v>
      </c>
      <c r="CK99" s="6">
        <v>90879</v>
      </c>
      <c r="CL99" s="6"/>
      <c r="CM99" s="6"/>
      <c r="CN99" s="6"/>
      <c r="CO99" s="6">
        <f>450276-DG99</f>
        <v>337707</v>
      </c>
      <c r="CP99" s="6">
        <v>74976</v>
      </c>
      <c r="CQ99" s="6">
        <v>1463397</v>
      </c>
      <c r="CR99" s="6"/>
      <c r="CS99" s="6"/>
      <c r="CT99" s="6"/>
      <c r="CU99" s="6"/>
      <c r="CV99" s="6"/>
      <c r="CW99" s="6"/>
      <c r="CX99" s="6">
        <v>0</v>
      </c>
      <c r="CY99" s="6"/>
      <c r="CZ99" s="6"/>
      <c r="DB99" s="6"/>
      <c r="DC99" s="6"/>
      <c r="DF99" s="6"/>
      <c r="DG99" s="6">
        <v>112569</v>
      </c>
      <c r="DH99" s="6"/>
      <c r="DI99" s="6"/>
      <c r="DJ99" s="6"/>
      <c r="DK99" s="6"/>
      <c r="DL99" s="6"/>
      <c r="DM99" s="6"/>
      <c r="DN99" s="6"/>
      <c r="DO99" s="6"/>
      <c r="DP99" s="6">
        <v>4900</v>
      </c>
      <c r="DU99" s="6">
        <f>VLOOKUP($A99,[3]Totals!$B$2:$K$119,10,FALSE)</f>
        <v>39110.400000000001</v>
      </c>
      <c r="DV99" s="6">
        <f>VLOOKUP($A99,[3]Totals!$B$2:$K$119,9,FALSE)</f>
        <v>76024</v>
      </c>
    </row>
    <row r="100" spans="1:126" x14ac:dyDescent="0.2">
      <c r="A100" s="3">
        <v>315</v>
      </c>
      <c r="B100" s="2" t="s">
        <v>26</v>
      </c>
      <c r="C100" t="s">
        <v>7</v>
      </c>
      <c r="D100">
        <v>8</v>
      </c>
      <c r="E100" s="1">
        <v>236</v>
      </c>
      <c r="F100" s="4">
        <v>0.72499999999999998</v>
      </c>
      <c r="G100">
        <v>171</v>
      </c>
      <c r="H100" s="6">
        <v>195277</v>
      </c>
      <c r="I100" s="6"/>
      <c r="J100" s="6"/>
      <c r="K100" s="6">
        <v>67876</v>
      </c>
      <c r="L100" s="6">
        <v>4860</v>
      </c>
      <c r="M100" s="6">
        <v>78183</v>
      </c>
      <c r="N100" s="6">
        <v>60194</v>
      </c>
      <c r="O100" s="6">
        <v>50595</v>
      </c>
      <c r="P100" s="6">
        <f t="shared" ref="P100:P102" si="5">91547+15105+5917.07</f>
        <v>112569.07</v>
      </c>
      <c r="Q100" s="6">
        <v>112569</v>
      </c>
      <c r="R100" s="6">
        <v>112569</v>
      </c>
      <c r="S100" s="6">
        <v>112569</v>
      </c>
      <c r="T100" s="6">
        <v>112464</v>
      </c>
      <c r="U100" s="6"/>
      <c r="V100" s="6"/>
      <c r="W100" s="6"/>
      <c r="X100" s="6"/>
      <c r="Y100" s="6"/>
      <c r="Z100" s="6"/>
      <c r="AA100" s="6"/>
      <c r="AB100" s="6"/>
      <c r="AC100" s="6"/>
      <c r="AD100" s="6">
        <v>94261</v>
      </c>
      <c r="AE100" s="6">
        <v>112569</v>
      </c>
      <c r="AF100" s="6">
        <v>112569</v>
      </c>
      <c r="AG100" s="6">
        <v>562845</v>
      </c>
      <c r="AH100" s="6"/>
      <c r="AI100" s="6">
        <v>149952</v>
      </c>
      <c r="AJ100" s="6"/>
      <c r="AK100" s="6"/>
      <c r="AL100" s="6"/>
      <c r="AM100" s="6"/>
      <c r="AN100" s="6"/>
      <c r="AO100" s="6">
        <v>112569</v>
      </c>
      <c r="AP100" s="6"/>
      <c r="AQ100" s="6"/>
      <c r="AR100" s="6"/>
      <c r="AS100" s="6"/>
      <c r="AT100" s="6"/>
      <c r="AU100" s="6"/>
      <c r="AV100" s="6"/>
      <c r="AW100" s="6">
        <v>0</v>
      </c>
      <c r="AX100" s="6"/>
      <c r="AY100" s="6"/>
      <c r="AZ100" s="6">
        <v>107007.85999999999</v>
      </c>
      <c r="BA100" s="6"/>
      <c r="BB100" s="6"/>
      <c r="BC100" s="6"/>
      <c r="BD100" s="6"/>
      <c r="BE100" s="6"/>
      <c r="BF100" s="6"/>
      <c r="BG100" s="6"/>
      <c r="BH100" s="6"/>
      <c r="BI100" s="6"/>
      <c r="BJ100" s="6"/>
      <c r="BK100" s="6"/>
      <c r="BL100" s="6"/>
      <c r="BM100" s="6"/>
      <c r="BN100" s="6"/>
      <c r="BO100" s="6"/>
      <c r="BP100" s="6"/>
      <c r="BQ100" s="6"/>
      <c r="BR100" s="6">
        <v>13859</v>
      </c>
      <c r="BS100" s="6"/>
      <c r="BT100" s="6"/>
      <c r="BU100" s="6"/>
      <c r="BV100" s="6"/>
      <c r="BW100" s="6"/>
      <c r="BX100" s="6">
        <v>432889.57</v>
      </c>
      <c r="BY100" s="6"/>
      <c r="BZ100" s="6"/>
      <c r="CA100" s="6"/>
      <c r="CB100" s="6"/>
      <c r="CC100" s="6">
        <v>130766</v>
      </c>
      <c r="CD100" s="6"/>
      <c r="CE100" s="6">
        <v>112569</v>
      </c>
      <c r="CF100" s="6">
        <v>112569</v>
      </c>
      <c r="CG100" s="6">
        <f t="shared" si="3"/>
        <v>3074150.5</v>
      </c>
      <c r="CI100" s="6">
        <v>112569</v>
      </c>
      <c r="CJ100" s="6"/>
      <c r="CK100" s="6">
        <v>45440</v>
      </c>
      <c r="CL100" s="6"/>
      <c r="CM100" s="6"/>
      <c r="CN100" s="6"/>
      <c r="CO100" s="6">
        <v>337707</v>
      </c>
      <c r="CP100" s="6">
        <v>37488</v>
      </c>
      <c r="CQ100" s="6">
        <v>1238259</v>
      </c>
      <c r="CR100" s="6"/>
      <c r="CS100" s="6"/>
      <c r="CT100" s="6"/>
      <c r="CU100" s="6"/>
      <c r="CV100" s="6"/>
      <c r="CW100" s="6"/>
      <c r="CX100" s="6">
        <v>0</v>
      </c>
      <c r="CY100" s="6">
        <v>75000</v>
      </c>
      <c r="CZ100" s="6"/>
      <c r="DB100" s="6"/>
      <c r="DC100" s="6"/>
      <c r="DF100" s="6"/>
      <c r="DG100" s="6"/>
      <c r="DH100" s="6"/>
      <c r="DI100" s="6"/>
      <c r="DJ100" s="6"/>
      <c r="DK100" s="6"/>
      <c r="DL100" s="6">
        <v>3440</v>
      </c>
      <c r="DM100" s="6"/>
      <c r="DN100" s="6"/>
      <c r="DO100" s="6"/>
      <c r="DP100" s="6">
        <v>19500</v>
      </c>
      <c r="DU100" s="6">
        <f>VLOOKUP($A100,[3]Totals!$B$2:$K$119,10,FALSE)</f>
        <v>124987.78</v>
      </c>
      <c r="DV100" s="6">
        <f>VLOOKUP($A100,[3]Totals!$B$2:$K$119,9,FALSE)</f>
        <v>379713</v>
      </c>
    </row>
    <row r="101" spans="1:126" x14ac:dyDescent="0.2">
      <c r="A101" s="3">
        <v>322</v>
      </c>
      <c r="B101" s="2" t="s">
        <v>25</v>
      </c>
      <c r="C101" t="s">
        <v>7</v>
      </c>
      <c r="D101">
        <v>7</v>
      </c>
      <c r="E101" s="1">
        <v>234</v>
      </c>
      <c r="F101" s="4">
        <v>0.75600000000000001</v>
      </c>
      <c r="G101">
        <v>177</v>
      </c>
      <c r="H101" s="6">
        <v>195277</v>
      </c>
      <c r="I101" s="6"/>
      <c r="J101" s="6"/>
      <c r="K101" s="6">
        <v>67876</v>
      </c>
      <c r="L101" s="6">
        <v>3949</v>
      </c>
      <c r="M101" s="6">
        <v>78183</v>
      </c>
      <c r="N101" s="6">
        <v>60194</v>
      </c>
      <c r="O101" s="6">
        <v>50595</v>
      </c>
      <c r="P101" s="6">
        <f t="shared" si="5"/>
        <v>112569.07</v>
      </c>
      <c r="Q101" s="6">
        <v>225138</v>
      </c>
      <c r="R101" s="6"/>
      <c r="S101" s="6">
        <v>225138</v>
      </c>
      <c r="T101" s="6">
        <v>149952</v>
      </c>
      <c r="U101" s="6"/>
      <c r="V101" s="6"/>
      <c r="W101" s="6"/>
      <c r="X101" s="6"/>
      <c r="Y101" s="6"/>
      <c r="Z101" s="6"/>
      <c r="AA101" s="6"/>
      <c r="AB101" s="6"/>
      <c r="AC101" s="6"/>
      <c r="AD101" s="6">
        <v>96998</v>
      </c>
      <c r="AE101" s="6">
        <v>112569</v>
      </c>
      <c r="AF101" s="6">
        <v>112569</v>
      </c>
      <c r="AG101" s="6">
        <v>675414</v>
      </c>
      <c r="AH101" s="6"/>
      <c r="AI101" s="6">
        <v>149952</v>
      </c>
      <c r="AJ101" s="6"/>
      <c r="AK101" s="6"/>
      <c r="AL101" s="6"/>
      <c r="AM101" s="6"/>
      <c r="AN101" s="6"/>
      <c r="AO101" s="6">
        <v>112569</v>
      </c>
      <c r="AP101" s="6"/>
      <c r="AQ101" s="6"/>
      <c r="AR101" s="6"/>
      <c r="AS101" s="6">
        <f>27200-13600</f>
        <v>13600</v>
      </c>
      <c r="AT101" s="6">
        <f>27200-23800</f>
        <v>3400</v>
      </c>
      <c r="AU101" s="6">
        <v>10200</v>
      </c>
      <c r="AV101" s="6"/>
      <c r="AW101" s="6">
        <v>37400</v>
      </c>
      <c r="AX101" s="6"/>
      <c r="AY101" s="6"/>
      <c r="AZ101" s="6">
        <v>106102.7</v>
      </c>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v>448078.08999999997</v>
      </c>
      <c r="BY101" s="6"/>
      <c r="BZ101" s="6"/>
      <c r="CA101" s="6"/>
      <c r="CB101" s="6"/>
      <c r="CC101" s="6">
        <v>379075</v>
      </c>
      <c r="CD101" s="6"/>
      <c r="CE101" s="6">
        <v>112569</v>
      </c>
      <c r="CF101" s="6">
        <v>0</v>
      </c>
      <c r="CG101" s="6">
        <f t="shared" si="3"/>
        <v>3539366.8600000003</v>
      </c>
      <c r="CI101" s="6">
        <v>112569</v>
      </c>
      <c r="CJ101" s="6"/>
      <c r="CK101" s="6">
        <v>45440</v>
      </c>
      <c r="CL101" s="6"/>
      <c r="CM101" s="6"/>
      <c r="CN101" s="6"/>
      <c r="CO101" s="6">
        <v>337707</v>
      </c>
      <c r="CP101" s="6">
        <v>74976</v>
      </c>
      <c r="CQ101" s="6">
        <v>1125690</v>
      </c>
      <c r="CR101" s="6"/>
      <c r="CS101" s="6"/>
      <c r="CT101" s="6"/>
      <c r="CU101" s="6"/>
      <c r="CV101" s="6"/>
      <c r="CW101" s="6"/>
      <c r="CX101" s="6">
        <v>0</v>
      </c>
      <c r="CY101" s="6">
        <v>75000</v>
      </c>
      <c r="CZ101" s="6"/>
      <c r="DB101" s="6"/>
      <c r="DC101" s="6"/>
      <c r="DF101" s="6"/>
      <c r="DG101" s="6"/>
      <c r="DH101" s="6"/>
      <c r="DI101" s="6"/>
      <c r="DJ101" s="6"/>
      <c r="DK101" s="6"/>
      <c r="DL101" s="6">
        <v>7137</v>
      </c>
      <c r="DM101" s="6"/>
      <c r="DN101" s="6"/>
      <c r="DO101" s="6"/>
      <c r="DP101" s="6">
        <v>12650</v>
      </c>
      <c r="DU101" s="6">
        <f>VLOOKUP($A101,[3]Totals!$B$2:$K$119,10,FALSE)</f>
        <v>160553.46</v>
      </c>
      <c r="DV101" s="6">
        <f>VLOOKUP($A101,[3]Totals!$B$2:$K$119,9,FALSE)</f>
        <v>182875</v>
      </c>
    </row>
    <row r="102" spans="1:126" x14ac:dyDescent="0.2">
      <c r="A102" s="3">
        <v>427</v>
      </c>
      <c r="B102" s="2" t="s">
        <v>24</v>
      </c>
      <c r="C102" t="s">
        <v>19</v>
      </c>
      <c r="D102">
        <v>7</v>
      </c>
      <c r="E102" s="1">
        <v>276</v>
      </c>
      <c r="F102" s="4">
        <v>0.72499999999999998</v>
      </c>
      <c r="G102">
        <v>200</v>
      </c>
      <c r="H102" s="6">
        <v>195277</v>
      </c>
      <c r="I102" s="6">
        <v>112569</v>
      </c>
      <c r="J102" s="6"/>
      <c r="K102" s="6">
        <v>67876</v>
      </c>
      <c r="L102" s="6">
        <v>5251</v>
      </c>
      <c r="M102" s="6">
        <v>78183</v>
      </c>
      <c r="N102" s="6">
        <v>60194</v>
      </c>
      <c r="O102" s="6">
        <v>151785</v>
      </c>
      <c r="P102" s="6">
        <f t="shared" si="5"/>
        <v>112569.07</v>
      </c>
      <c r="Q102" s="6"/>
      <c r="R102" s="6"/>
      <c r="S102" s="6"/>
      <c r="T102" s="6"/>
      <c r="U102" s="6"/>
      <c r="V102" s="6"/>
      <c r="W102" s="6"/>
      <c r="X102" s="6"/>
      <c r="Y102" s="6"/>
      <c r="Z102" s="6"/>
      <c r="AA102" s="6"/>
      <c r="AB102" s="6"/>
      <c r="AC102" s="6"/>
      <c r="AD102" s="6">
        <v>119290</v>
      </c>
      <c r="AE102" s="6">
        <v>112569</v>
      </c>
      <c r="AF102" s="6">
        <v>112569</v>
      </c>
      <c r="AG102" s="6">
        <v>1238259</v>
      </c>
      <c r="AH102" s="6"/>
      <c r="AI102" s="6">
        <v>224928</v>
      </c>
      <c r="AJ102" s="6"/>
      <c r="AK102" s="6"/>
      <c r="AL102" s="6"/>
      <c r="AM102" s="6"/>
      <c r="AN102" s="6"/>
      <c r="AO102" s="6"/>
      <c r="AP102" s="6"/>
      <c r="AQ102" s="6"/>
      <c r="AR102" s="6"/>
      <c r="AS102" s="6"/>
      <c r="AT102" s="6"/>
      <c r="AU102" s="6"/>
      <c r="AV102" s="6"/>
      <c r="AW102" s="6">
        <v>0</v>
      </c>
      <c r="AX102" s="6"/>
      <c r="AY102" s="6"/>
      <c r="AZ102" s="6">
        <v>125149.6</v>
      </c>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v>506304</v>
      </c>
      <c r="BY102" s="6"/>
      <c r="BZ102" s="6"/>
      <c r="CA102" s="6"/>
      <c r="CB102" s="6"/>
      <c r="CC102" s="6">
        <v>80620</v>
      </c>
      <c r="CD102" s="6"/>
      <c r="CE102" s="6">
        <v>112569</v>
      </c>
      <c r="CF102" s="6">
        <v>56285</v>
      </c>
      <c r="CG102" s="6">
        <f t="shared" si="3"/>
        <v>3472246.6700000004</v>
      </c>
      <c r="CI102" s="6">
        <v>112569</v>
      </c>
      <c r="CJ102" s="6">
        <v>140876</v>
      </c>
      <c r="CK102" s="6">
        <v>45440</v>
      </c>
      <c r="CL102" s="6"/>
      <c r="CM102" s="6"/>
      <c r="CN102" s="6"/>
      <c r="CO102" s="6"/>
      <c r="CP102" s="6"/>
      <c r="CQ102" s="6">
        <v>1407113</v>
      </c>
      <c r="CR102" s="6">
        <v>225138</v>
      </c>
      <c r="CS102" s="6">
        <v>23000</v>
      </c>
      <c r="CT102" s="6"/>
      <c r="CU102" s="6">
        <v>100000</v>
      </c>
      <c r="CV102" s="6"/>
      <c r="CW102" s="6"/>
      <c r="CX102" s="6">
        <v>0</v>
      </c>
      <c r="CY102" s="6"/>
      <c r="CZ102" s="6"/>
      <c r="DB102" s="6"/>
      <c r="DC102" s="6"/>
      <c r="DF102" s="6"/>
      <c r="DG102" s="6"/>
      <c r="DH102" s="6"/>
      <c r="DI102" s="6">
        <v>156529</v>
      </c>
      <c r="DJ102" s="6"/>
      <c r="DK102" s="6"/>
      <c r="DL102" s="6">
        <v>4022</v>
      </c>
      <c r="DM102" s="6"/>
      <c r="DN102" s="6"/>
      <c r="DO102" s="6"/>
      <c r="DP102" s="6">
        <v>51750</v>
      </c>
      <c r="DU102" s="6">
        <f>VLOOKUP($A102,[3]Totals!$B$2:$K$119,10,FALSE)</f>
        <v>128011.26</v>
      </c>
      <c r="DV102" s="6">
        <f>VLOOKUP($A102,[3]Totals!$B$2:$K$119,9,FALSE)</f>
        <v>225138</v>
      </c>
    </row>
    <row r="103" spans="1:126" x14ac:dyDescent="0.2">
      <c r="A103" s="3">
        <v>319</v>
      </c>
      <c r="B103" s="2" t="s">
        <v>23</v>
      </c>
      <c r="C103" t="s">
        <v>7</v>
      </c>
      <c r="D103">
        <v>8</v>
      </c>
      <c r="E103" s="1">
        <v>390</v>
      </c>
      <c r="F103" s="4">
        <v>0.90500000000000003</v>
      </c>
      <c r="G103">
        <v>353</v>
      </c>
      <c r="H103" s="6">
        <v>195277</v>
      </c>
      <c r="I103" s="6"/>
      <c r="J103" s="6"/>
      <c r="K103" s="6">
        <v>67876</v>
      </c>
      <c r="L103" s="6">
        <v>5245</v>
      </c>
      <c r="M103" s="6">
        <v>78183</v>
      </c>
      <c r="N103" s="6">
        <v>60194</v>
      </c>
      <c r="O103" s="6">
        <v>101190</v>
      </c>
      <c r="P103" s="6">
        <v>112569</v>
      </c>
      <c r="Q103" s="6">
        <v>225138</v>
      </c>
      <c r="R103" s="6"/>
      <c r="S103" s="6">
        <v>337707</v>
      </c>
      <c r="T103" s="6">
        <v>187440</v>
      </c>
      <c r="U103" s="6"/>
      <c r="V103" s="6"/>
      <c r="W103" s="6"/>
      <c r="X103" s="6"/>
      <c r="Y103" s="6"/>
      <c r="Z103" s="6"/>
      <c r="AA103" s="6"/>
      <c r="AB103" s="6"/>
      <c r="AC103" s="6"/>
      <c r="AD103" s="6">
        <v>141728</v>
      </c>
      <c r="AE103" s="6">
        <v>112569</v>
      </c>
      <c r="AF103" s="6">
        <v>225138</v>
      </c>
      <c r="AG103" s="6">
        <v>787983</v>
      </c>
      <c r="AH103" s="6"/>
      <c r="AI103" s="6">
        <v>149952</v>
      </c>
      <c r="AJ103" s="6"/>
      <c r="AK103" s="6"/>
      <c r="AL103" s="6"/>
      <c r="AM103" s="6"/>
      <c r="AN103" s="6"/>
      <c r="AO103" s="6"/>
      <c r="AP103" s="6">
        <v>10131</v>
      </c>
      <c r="AQ103" s="6"/>
      <c r="AR103" s="6"/>
      <c r="AS103" s="6">
        <f>47600-27200</f>
        <v>20400</v>
      </c>
      <c r="AT103" s="6">
        <f>47600-23800</f>
        <v>23800</v>
      </c>
      <c r="AU103" s="6">
        <v>10200</v>
      </c>
      <c r="AV103" s="6"/>
      <c r="AW103" s="6">
        <v>64600</v>
      </c>
      <c r="AX103" s="6"/>
      <c r="AY103" s="6"/>
      <c r="AZ103" s="6">
        <v>283490.59500000003</v>
      </c>
      <c r="BA103" s="6"/>
      <c r="BB103" s="6"/>
      <c r="BC103" s="6">
        <v>112569</v>
      </c>
      <c r="BD103" s="6"/>
      <c r="BE103" s="6"/>
      <c r="BF103" s="6"/>
      <c r="BG103" s="6"/>
      <c r="BH103" s="6"/>
      <c r="BI103" s="6"/>
      <c r="BJ103" s="6"/>
      <c r="BK103" s="6"/>
      <c r="BL103" s="6"/>
      <c r="BM103" s="6"/>
      <c r="BN103" s="6"/>
      <c r="BO103" s="6"/>
      <c r="BP103" s="6"/>
      <c r="BQ103" s="6"/>
      <c r="BR103" s="6"/>
      <c r="BS103" s="6"/>
      <c r="BT103" s="6"/>
      <c r="BU103" s="6"/>
      <c r="BV103" s="6"/>
      <c r="BW103" s="6"/>
      <c r="BX103" s="6">
        <v>893625.19500000007</v>
      </c>
      <c r="BY103" s="6"/>
      <c r="BZ103" s="6"/>
      <c r="CA103" s="6"/>
      <c r="CB103" s="6"/>
      <c r="CC103" s="6">
        <v>205137</v>
      </c>
      <c r="CD103" s="6"/>
      <c r="CE103" s="6">
        <v>156529</v>
      </c>
      <c r="CF103" s="6">
        <v>112569</v>
      </c>
      <c r="CG103" s="6">
        <f t="shared" si="3"/>
        <v>4681239.79</v>
      </c>
      <c r="CI103" s="6">
        <v>112569</v>
      </c>
      <c r="CJ103" s="6">
        <v>156529</v>
      </c>
      <c r="CK103" s="6">
        <v>90879</v>
      </c>
      <c r="CL103" s="6"/>
      <c r="CM103" s="6"/>
      <c r="CN103" s="6"/>
      <c r="CO103" s="6">
        <v>337707</v>
      </c>
      <c r="CP103" s="6">
        <v>112464</v>
      </c>
      <c r="CQ103" s="6">
        <v>1913673</v>
      </c>
      <c r="CR103" s="6"/>
      <c r="CS103" s="6"/>
      <c r="CT103" s="6"/>
      <c r="CU103" s="6"/>
      <c r="CV103" s="6"/>
      <c r="CW103" s="6"/>
      <c r="CX103" s="6">
        <v>0</v>
      </c>
      <c r="CY103" s="6"/>
      <c r="CZ103" s="6"/>
      <c r="DB103" s="6"/>
      <c r="DC103" s="6"/>
      <c r="DF103" s="6"/>
      <c r="DG103" s="6"/>
      <c r="DH103" s="6"/>
      <c r="DI103" s="6"/>
      <c r="DJ103" s="6"/>
      <c r="DK103" s="6"/>
      <c r="DL103" s="6">
        <v>14172</v>
      </c>
      <c r="DM103" s="6"/>
      <c r="DN103" s="6"/>
      <c r="DO103" s="6"/>
      <c r="DP103" s="6">
        <v>46125</v>
      </c>
      <c r="DU103" s="6">
        <f>VLOOKUP($A103,[3]Totals!$B$2:$K$119,10,FALSE)</f>
        <v>270080.59000000003</v>
      </c>
      <c r="DV103" s="6">
        <f>VLOOKUP($A103,[3]Totals!$B$2:$K$119,9,FALSE)</f>
        <v>337707</v>
      </c>
    </row>
    <row r="104" spans="1:126" x14ac:dyDescent="0.2">
      <c r="A104" s="3">
        <v>1142</v>
      </c>
      <c r="B104" s="2" t="s">
        <v>22</v>
      </c>
      <c r="C104" t="s">
        <v>7</v>
      </c>
      <c r="D104">
        <v>2</v>
      </c>
      <c r="E104" s="1">
        <v>82</v>
      </c>
      <c r="F104" s="4">
        <v>0.19500000000000001</v>
      </c>
      <c r="G104">
        <v>16</v>
      </c>
      <c r="H104" s="6">
        <v>195277</v>
      </c>
      <c r="I104" s="6"/>
      <c r="J104" s="6"/>
      <c r="K104" s="6">
        <v>67876</v>
      </c>
      <c r="L104" s="6">
        <v>3251</v>
      </c>
      <c r="M104" s="6">
        <v>78183</v>
      </c>
      <c r="N104" s="6">
        <v>60194</v>
      </c>
      <c r="O104" s="6">
        <v>50595</v>
      </c>
      <c r="P104" s="6">
        <f>91547+15105+5917.07</f>
        <v>112569.07</v>
      </c>
      <c r="Q104" s="6">
        <v>337707</v>
      </c>
      <c r="R104" s="6"/>
      <c r="S104" s="6">
        <v>225138</v>
      </c>
      <c r="T104" s="6">
        <v>187440</v>
      </c>
      <c r="U104" s="6"/>
      <c r="V104" s="6"/>
      <c r="W104" s="6"/>
      <c r="X104" s="6"/>
      <c r="Y104" s="6"/>
      <c r="Z104" s="6"/>
      <c r="AA104" s="6"/>
      <c r="AB104" s="6"/>
      <c r="AC104" s="6"/>
      <c r="AD104" s="6">
        <v>56920</v>
      </c>
      <c r="AE104" s="6">
        <v>112569</v>
      </c>
      <c r="AF104" s="6">
        <v>112569</v>
      </c>
      <c r="AG104" s="6">
        <v>562845</v>
      </c>
      <c r="AH104" s="6"/>
      <c r="AI104" s="6">
        <v>187440</v>
      </c>
      <c r="AJ104" s="6"/>
      <c r="AK104" s="6"/>
      <c r="AL104" s="6"/>
      <c r="AM104" s="6"/>
      <c r="AN104" s="6"/>
      <c r="AO104" s="6"/>
      <c r="AP104" s="6">
        <v>20262</v>
      </c>
      <c r="AQ104" s="6"/>
      <c r="AR104" s="6"/>
      <c r="AS104" s="6">
        <f>13600-11900</f>
        <v>1700</v>
      </c>
      <c r="AT104" s="6">
        <f>13600-11900</f>
        <v>1700</v>
      </c>
      <c r="AU104" s="6">
        <v>10200</v>
      </c>
      <c r="AV104" s="6"/>
      <c r="AW104" s="6">
        <v>23800</v>
      </c>
      <c r="AX104" s="6"/>
      <c r="AY104" s="6"/>
      <c r="AZ104" s="6">
        <v>4053.85</v>
      </c>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v>40504</v>
      </c>
      <c r="BY104" s="6"/>
      <c r="BZ104" s="6"/>
      <c r="CA104" s="6"/>
      <c r="CB104" s="6"/>
      <c r="CC104" s="6"/>
      <c r="CD104" s="6"/>
      <c r="CE104" s="6"/>
      <c r="CF104" s="6">
        <v>0</v>
      </c>
      <c r="CG104" s="6">
        <f t="shared" si="3"/>
        <v>2452792.9200000004</v>
      </c>
      <c r="CI104" s="6">
        <v>112569</v>
      </c>
      <c r="CJ104" s="6"/>
      <c r="CK104" s="6">
        <v>45440</v>
      </c>
      <c r="CL104" s="6"/>
      <c r="CM104" s="6"/>
      <c r="CN104" s="6"/>
      <c r="CO104" s="6">
        <v>337707</v>
      </c>
      <c r="CP104" s="6"/>
      <c r="CQ104" s="6"/>
      <c r="CR104" s="6"/>
      <c r="CS104" s="6"/>
      <c r="CT104" s="6"/>
      <c r="CU104" s="6"/>
      <c r="CV104" s="6"/>
      <c r="CW104" s="6"/>
      <c r="CX104" s="6">
        <v>0</v>
      </c>
      <c r="CY104" s="6"/>
      <c r="CZ104" s="6"/>
      <c r="DB104" s="6"/>
      <c r="DC104" s="6"/>
      <c r="DF104" s="6"/>
      <c r="DG104" s="6"/>
      <c r="DH104" s="6"/>
      <c r="DI104" s="6"/>
      <c r="DJ104" s="6"/>
      <c r="DK104" s="6"/>
      <c r="DL104" s="6"/>
      <c r="DM104" s="6"/>
      <c r="DN104" s="6"/>
      <c r="DO104" s="6"/>
      <c r="DP104" s="6">
        <v>6128</v>
      </c>
      <c r="DU104" s="6">
        <f>VLOOKUP($A104,[3]Totals!$B$2:$K$119,10,FALSE)</f>
        <v>34161</v>
      </c>
      <c r="DV104" s="6">
        <f>VLOOKUP($A104,[3]Totals!$B$2:$K$119,9,FALSE)</f>
        <v>0</v>
      </c>
    </row>
    <row r="105" spans="1:126" x14ac:dyDescent="0.2">
      <c r="A105" s="3">
        <v>321</v>
      </c>
      <c r="B105" s="2" t="s">
        <v>21</v>
      </c>
      <c r="C105" t="s">
        <v>7</v>
      </c>
      <c r="D105">
        <v>3</v>
      </c>
      <c r="E105" s="1">
        <v>453</v>
      </c>
      <c r="F105" s="4">
        <v>9.2999999999999999E-2</v>
      </c>
      <c r="G105">
        <v>42</v>
      </c>
      <c r="H105" s="6">
        <v>195277</v>
      </c>
      <c r="I105" s="6"/>
      <c r="J105" s="6"/>
      <c r="K105" s="6">
        <v>67876</v>
      </c>
      <c r="L105" s="6">
        <v>5477</v>
      </c>
      <c r="M105" s="6">
        <v>78183</v>
      </c>
      <c r="N105" s="6">
        <v>60194</v>
      </c>
      <c r="O105" s="6">
        <v>101190</v>
      </c>
      <c r="P105" s="6">
        <v>112569</v>
      </c>
      <c r="Q105" s="6"/>
      <c r="R105" s="6"/>
      <c r="S105" s="6">
        <v>112569</v>
      </c>
      <c r="T105" s="6">
        <v>37488</v>
      </c>
      <c r="U105" s="6"/>
      <c r="V105" s="6"/>
      <c r="W105" s="6"/>
      <c r="X105" s="6"/>
      <c r="Y105" s="6"/>
      <c r="Z105" s="6"/>
      <c r="AA105" s="6"/>
      <c r="AB105" s="6"/>
      <c r="AC105" s="6"/>
      <c r="AD105" s="6">
        <v>155557</v>
      </c>
      <c r="AE105" s="6">
        <v>112569</v>
      </c>
      <c r="AF105" s="6">
        <v>112569</v>
      </c>
      <c r="AG105" s="6">
        <v>337707</v>
      </c>
      <c r="AH105" s="6"/>
      <c r="AI105" s="6"/>
      <c r="AJ105" s="6"/>
      <c r="AK105" s="6"/>
      <c r="AL105" s="6"/>
      <c r="AM105" s="6"/>
      <c r="AN105" s="6"/>
      <c r="AO105" s="6">
        <v>562845</v>
      </c>
      <c r="AP105" s="6"/>
      <c r="AQ105" s="6"/>
      <c r="AR105" s="6"/>
      <c r="AS105" s="6"/>
      <c r="AT105" s="6"/>
      <c r="AU105" s="6"/>
      <c r="AV105" s="6"/>
      <c r="AW105" s="6">
        <v>0</v>
      </c>
      <c r="AX105" s="6"/>
      <c r="AY105" s="6"/>
      <c r="AZ105" s="6">
        <v>0</v>
      </c>
      <c r="BA105" s="6"/>
      <c r="BB105" s="6">
        <v>11325</v>
      </c>
      <c r="BC105" s="6"/>
      <c r="BD105" s="6"/>
      <c r="BE105" s="6"/>
      <c r="BF105" s="6"/>
      <c r="BG105" s="6"/>
      <c r="BH105" s="6"/>
      <c r="BI105" s="6"/>
      <c r="BJ105" s="6"/>
      <c r="BK105" s="6"/>
      <c r="BL105" s="6"/>
      <c r="BM105" s="6"/>
      <c r="BN105" s="6"/>
      <c r="BO105" s="6"/>
      <c r="BP105" s="6"/>
      <c r="BQ105" s="6"/>
      <c r="BR105" s="6"/>
      <c r="BS105" s="6"/>
      <c r="BT105" s="6"/>
      <c r="BU105" s="6"/>
      <c r="BV105" s="6"/>
      <c r="BW105" s="6"/>
      <c r="BX105" s="6">
        <v>106324</v>
      </c>
      <c r="BY105" s="6"/>
      <c r="BZ105" s="6"/>
      <c r="CA105" s="6"/>
      <c r="CB105" s="6"/>
      <c r="CC105" s="6"/>
      <c r="CD105" s="6"/>
      <c r="CE105" s="6"/>
      <c r="CF105" s="6">
        <v>0</v>
      </c>
      <c r="CG105" s="6">
        <f t="shared" si="3"/>
        <v>2169719</v>
      </c>
      <c r="CI105" s="6">
        <v>112569</v>
      </c>
      <c r="CJ105" s="6">
        <v>172182</v>
      </c>
      <c r="CK105" s="6">
        <v>90879</v>
      </c>
      <c r="CL105" s="6">
        <v>55703</v>
      </c>
      <c r="CM105" s="6"/>
      <c r="CN105" s="6"/>
      <c r="CO105" s="6">
        <v>506561</v>
      </c>
      <c r="CP105" s="6">
        <v>149952</v>
      </c>
      <c r="CQ105" s="6">
        <v>2589087</v>
      </c>
      <c r="CR105" s="6"/>
      <c r="CS105" s="6"/>
      <c r="CT105" s="6"/>
      <c r="CU105" s="6"/>
      <c r="CV105" s="6"/>
      <c r="CW105" s="6"/>
      <c r="CX105" s="6">
        <v>0</v>
      </c>
      <c r="CY105" s="6"/>
      <c r="CZ105" s="6"/>
      <c r="DB105" s="6">
        <v>112569</v>
      </c>
      <c r="DC105" s="6"/>
      <c r="DF105" s="6"/>
      <c r="DG105" s="6"/>
      <c r="DH105" s="6"/>
      <c r="DI105" s="6"/>
      <c r="DJ105" s="6"/>
      <c r="DK105" s="6"/>
      <c r="DL105" s="6"/>
      <c r="DM105" s="6"/>
      <c r="DN105" s="6"/>
      <c r="DO105" s="6"/>
      <c r="DP105" s="6">
        <v>3500</v>
      </c>
      <c r="DU105" s="6">
        <f>VLOOKUP($A105,[3]Totals!$B$2:$K$119,10,FALSE)</f>
        <v>65586.710000000006</v>
      </c>
      <c r="DV105" s="6">
        <f>VLOOKUP($A105,[3]Totals!$B$2:$K$119,9,FALSE)</f>
        <v>37488</v>
      </c>
    </row>
    <row r="106" spans="1:126" x14ac:dyDescent="0.2">
      <c r="A106" s="3">
        <v>428</v>
      </c>
      <c r="B106" s="2" t="s">
        <v>20</v>
      </c>
      <c r="C106" t="s">
        <v>19</v>
      </c>
      <c r="D106">
        <v>6</v>
      </c>
      <c r="E106" s="1">
        <v>507</v>
      </c>
      <c r="F106" s="4">
        <v>0.33500000000000002</v>
      </c>
      <c r="G106">
        <v>170</v>
      </c>
      <c r="H106" s="6">
        <v>195277</v>
      </c>
      <c r="I106" s="6">
        <v>146340</v>
      </c>
      <c r="J106" s="6"/>
      <c r="K106" s="6">
        <v>67876</v>
      </c>
      <c r="L106" s="6">
        <v>8422</v>
      </c>
      <c r="M106" s="6">
        <v>78183</v>
      </c>
      <c r="N106" s="6">
        <v>60194</v>
      </c>
      <c r="O106" s="6">
        <v>202380</v>
      </c>
      <c r="P106" s="6">
        <v>112569</v>
      </c>
      <c r="Q106" s="6"/>
      <c r="R106" s="6"/>
      <c r="S106" s="6"/>
      <c r="T106" s="6"/>
      <c r="U106" s="6"/>
      <c r="V106" s="6"/>
      <c r="W106" s="6"/>
      <c r="X106" s="6"/>
      <c r="Y106" s="6"/>
      <c r="Z106" s="6"/>
      <c r="AA106" s="6"/>
      <c r="AB106" s="6"/>
      <c r="AC106" s="6"/>
      <c r="AD106" s="6">
        <v>186703</v>
      </c>
      <c r="AE106" s="6">
        <v>112569</v>
      </c>
      <c r="AF106" s="6">
        <v>225138</v>
      </c>
      <c r="AG106" s="6">
        <v>1013121</v>
      </c>
      <c r="AH106" s="6"/>
      <c r="AI106" s="6">
        <v>112464</v>
      </c>
      <c r="AJ106" s="6"/>
      <c r="AK106" s="6"/>
      <c r="AL106" s="6"/>
      <c r="AM106" s="6"/>
      <c r="AN106" s="6"/>
      <c r="AO106" s="6"/>
      <c r="AP106" s="6">
        <v>40525</v>
      </c>
      <c r="AQ106" s="6"/>
      <c r="AR106" s="6"/>
      <c r="AS106" s="6"/>
      <c r="AT106" s="6"/>
      <c r="AU106" s="6"/>
      <c r="AV106" s="6"/>
      <c r="AW106" s="6">
        <v>0</v>
      </c>
      <c r="AX106" s="6"/>
      <c r="AY106" s="6"/>
      <c r="AZ106" s="6">
        <v>92153.97</v>
      </c>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v>430358.5</v>
      </c>
      <c r="BY106" s="6"/>
      <c r="BZ106" s="6"/>
      <c r="CA106" s="6"/>
      <c r="CB106" s="6"/>
      <c r="CC106" s="6"/>
      <c r="CD106" s="6"/>
      <c r="CE106" s="6"/>
      <c r="CF106" s="6">
        <v>-337602</v>
      </c>
      <c r="CG106" s="6">
        <f t="shared" si="3"/>
        <v>2746671.47</v>
      </c>
      <c r="CI106" s="6">
        <v>112569</v>
      </c>
      <c r="CJ106" s="6">
        <v>266099</v>
      </c>
      <c r="CK106" s="6">
        <v>90879</v>
      </c>
      <c r="CL106" s="6">
        <v>65831</v>
      </c>
      <c r="CM106" s="6"/>
      <c r="CN106" s="6"/>
      <c r="CO106" s="6"/>
      <c r="CP106" s="6"/>
      <c r="CQ106" s="6">
        <v>2589087</v>
      </c>
      <c r="CR106" s="6">
        <v>337707</v>
      </c>
      <c r="CS106" s="6">
        <v>23000</v>
      </c>
      <c r="CT106" s="6"/>
      <c r="CU106" s="6">
        <v>100000</v>
      </c>
      <c r="CV106" s="6"/>
      <c r="CW106" s="6">
        <v>112569</v>
      </c>
      <c r="CX106" s="6">
        <v>0</v>
      </c>
      <c r="CY106" s="6"/>
      <c r="CZ106" s="6"/>
      <c r="DB106" s="6"/>
      <c r="DC106" s="6"/>
      <c r="DF106" s="6"/>
      <c r="DG106" s="6"/>
      <c r="DH106" s="6"/>
      <c r="DI106" s="6">
        <v>156529</v>
      </c>
      <c r="DJ106" s="6"/>
      <c r="DK106" s="6"/>
      <c r="DL106" s="6">
        <v>3405</v>
      </c>
      <c r="DM106" s="6"/>
      <c r="DN106" s="6"/>
      <c r="DO106" s="6"/>
      <c r="DP106" s="6">
        <v>18000</v>
      </c>
      <c r="DU106" s="6">
        <f>VLOOKUP($A106,[3]Totals!$B$2:$K$119,10,FALSE)</f>
        <v>128750.27</v>
      </c>
      <c r="DV106" s="6">
        <f>VLOOKUP($A106,[3]Totals!$B$2:$K$119,9,FALSE)</f>
        <v>58065</v>
      </c>
    </row>
    <row r="107" spans="1:126" x14ac:dyDescent="0.2">
      <c r="A107" s="3">
        <v>324</v>
      </c>
      <c r="B107" s="2" t="s">
        <v>18</v>
      </c>
      <c r="C107" t="s">
        <v>7</v>
      </c>
      <c r="D107">
        <v>4</v>
      </c>
      <c r="E107" s="1">
        <v>423</v>
      </c>
      <c r="F107" s="4">
        <v>0.40200000000000002</v>
      </c>
      <c r="G107">
        <v>170</v>
      </c>
      <c r="H107" s="6">
        <v>195277</v>
      </c>
      <c r="I107" s="6"/>
      <c r="J107" s="6"/>
      <c r="K107" s="6">
        <v>67876</v>
      </c>
      <c r="L107" s="6">
        <v>8049</v>
      </c>
      <c r="M107" s="6">
        <v>78183</v>
      </c>
      <c r="N107" s="6">
        <v>60194</v>
      </c>
      <c r="O107" s="6">
        <v>151785</v>
      </c>
      <c r="P107" s="6">
        <v>112569</v>
      </c>
      <c r="Q107" s="6">
        <v>225138</v>
      </c>
      <c r="R107" s="6">
        <v>225138</v>
      </c>
      <c r="S107" s="6">
        <v>225138</v>
      </c>
      <c r="T107" s="6">
        <v>224928</v>
      </c>
      <c r="U107" s="6"/>
      <c r="V107" s="6"/>
      <c r="W107" s="6"/>
      <c r="X107" s="6"/>
      <c r="Y107" s="6"/>
      <c r="Z107" s="6"/>
      <c r="AA107" s="6"/>
      <c r="AB107" s="6"/>
      <c r="AC107" s="6"/>
      <c r="AD107" s="6">
        <v>175752</v>
      </c>
      <c r="AE107" s="6">
        <v>112569</v>
      </c>
      <c r="AF107" s="6">
        <v>225138</v>
      </c>
      <c r="AG107" s="6">
        <v>900552</v>
      </c>
      <c r="AH107" s="6"/>
      <c r="AI107" s="6">
        <v>299904</v>
      </c>
      <c r="AJ107" s="6"/>
      <c r="AK107" s="6"/>
      <c r="AL107" s="6">
        <v>117087</v>
      </c>
      <c r="AM107" s="6"/>
      <c r="AN107" s="6"/>
      <c r="AO107" s="6">
        <v>900552</v>
      </c>
      <c r="AP107" s="6"/>
      <c r="AQ107" s="6"/>
      <c r="AR107" s="6"/>
      <c r="AS107" s="6">
        <f>74800-40800</f>
        <v>34000</v>
      </c>
      <c r="AT107" s="6">
        <f>74800-34000</f>
        <v>40800</v>
      </c>
      <c r="AU107" s="6"/>
      <c r="AV107" s="6"/>
      <c r="AW107" s="6">
        <v>74800</v>
      </c>
      <c r="AX107" s="6"/>
      <c r="AY107" s="6"/>
      <c r="AZ107" s="6">
        <v>191803.36000000002</v>
      </c>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v>430358</v>
      </c>
      <c r="BY107" s="6"/>
      <c r="BZ107" s="6"/>
      <c r="CA107" s="6"/>
      <c r="CB107" s="6"/>
      <c r="CC107" s="6">
        <v>616926</v>
      </c>
      <c r="CD107" s="6"/>
      <c r="CE107" s="6"/>
      <c r="CF107" s="6">
        <v>10200</v>
      </c>
      <c r="CG107" s="6">
        <f t="shared" si="3"/>
        <v>5704716.3600000003</v>
      </c>
      <c r="CI107" s="6">
        <v>112569</v>
      </c>
      <c r="CJ107" s="6">
        <v>172182</v>
      </c>
      <c r="CK107" s="6">
        <v>90879</v>
      </c>
      <c r="CL107" s="6">
        <v>55703</v>
      </c>
      <c r="CM107" s="6"/>
      <c r="CN107" s="6"/>
      <c r="CO107" s="6">
        <v>506561</v>
      </c>
      <c r="CP107" s="6">
        <v>112464</v>
      </c>
      <c r="CQ107" s="6">
        <v>1913673</v>
      </c>
      <c r="CR107" s="6"/>
      <c r="CS107" s="6"/>
      <c r="CT107" s="6"/>
      <c r="CU107" s="6"/>
      <c r="CV107" s="6"/>
      <c r="CW107" s="6"/>
      <c r="CX107" s="6">
        <v>0</v>
      </c>
      <c r="CY107" s="6"/>
      <c r="CZ107" s="6"/>
      <c r="DB107" s="6">
        <v>112569</v>
      </c>
      <c r="DC107" s="6"/>
      <c r="DF107" s="6"/>
      <c r="DG107" s="6"/>
      <c r="DH107" s="6"/>
      <c r="DI107" s="6"/>
      <c r="DJ107" s="6"/>
      <c r="DK107" s="6"/>
      <c r="DL107" s="6">
        <v>3400</v>
      </c>
      <c r="DM107" s="6"/>
      <c r="DN107" s="6"/>
      <c r="DO107" s="6"/>
      <c r="DP107" s="6">
        <v>38675</v>
      </c>
      <c r="DU107" s="6">
        <f>VLOOKUP($A107,[3]Totals!$B$2:$K$119,10,FALSE)</f>
        <v>113972.82</v>
      </c>
      <c r="DV107" s="6">
        <f>VLOOKUP($A107,[3]Totals!$B$2:$K$119,9,FALSE)</f>
        <v>378024</v>
      </c>
    </row>
    <row r="108" spans="1:126" x14ac:dyDescent="0.2">
      <c r="A108" s="3">
        <v>325</v>
      </c>
      <c r="B108" s="2" t="s">
        <v>17</v>
      </c>
      <c r="C108" t="s">
        <v>7</v>
      </c>
      <c r="D108">
        <v>7</v>
      </c>
      <c r="E108" s="1">
        <v>318</v>
      </c>
      <c r="F108" s="4">
        <v>0.82099999999999995</v>
      </c>
      <c r="G108">
        <v>261</v>
      </c>
      <c r="H108" s="6">
        <v>195277</v>
      </c>
      <c r="I108" s="6"/>
      <c r="J108" s="6"/>
      <c r="K108" s="6">
        <v>67876</v>
      </c>
      <c r="L108" s="6">
        <v>5394</v>
      </c>
      <c r="M108" s="6">
        <v>78183</v>
      </c>
      <c r="N108" s="6">
        <v>60194</v>
      </c>
      <c r="O108" s="6">
        <v>101190</v>
      </c>
      <c r="P108" s="6">
        <v>112569</v>
      </c>
      <c r="Q108" s="6">
        <v>225138</v>
      </c>
      <c r="R108" s="6">
        <v>225138</v>
      </c>
      <c r="S108" s="6">
        <v>112569</v>
      </c>
      <c r="T108" s="6">
        <v>187440</v>
      </c>
      <c r="U108" s="6"/>
      <c r="V108" s="6"/>
      <c r="W108" s="6"/>
      <c r="X108" s="6"/>
      <c r="Y108" s="6"/>
      <c r="Z108" s="6"/>
      <c r="AA108" s="6"/>
      <c r="AB108" s="6"/>
      <c r="AC108" s="6"/>
      <c r="AD108" s="6">
        <v>122825</v>
      </c>
      <c r="AE108" s="6">
        <v>112569</v>
      </c>
      <c r="AF108" s="6">
        <v>112569</v>
      </c>
      <c r="AG108" s="6">
        <v>787983</v>
      </c>
      <c r="AH108" s="6"/>
      <c r="AI108" s="6">
        <v>187440</v>
      </c>
      <c r="AJ108" s="6"/>
      <c r="AK108" s="6"/>
      <c r="AL108" s="6"/>
      <c r="AM108" s="6"/>
      <c r="AN108" s="6"/>
      <c r="AO108" s="6"/>
      <c r="AP108" s="6">
        <v>25891</v>
      </c>
      <c r="AQ108" s="6"/>
      <c r="AR108" s="6"/>
      <c r="AS108" s="6">
        <f>34000-20400</f>
        <v>13600</v>
      </c>
      <c r="AT108" s="6">
        <f>34000-23800</f>
        <v>10200</v>
      </c>
      <c r="AU108" s="6">
        <v>10200</v>
      </c>
      <c r="AV108" s="6"/>
      <c r="AW108" s="6">
        <v>44200</v>
      </c>
      <c r="AX108" s="6"/>
      <c r="AY108" s="6"/>
      <c r="AZ108" s="6">
        <v>250842.875</v>
      </c>
      <c r="BA108" s="6"/>
      <c r="BB108" s="6"/>
      <c r="BC108" s="6">
        <v>112569</v>
      </c>
      <c r="BD108" s="6"/>
      <c r="BE108" s="6"/>
      <c r="BF108" s="6"/>
      <c r="BG108" s="6"/>
      <c r="BH108" s="6"/>
      <c r="BI108" s="6"/>
      <c r="BJ108" s="6"/>
      <c r="BK108" s="6"/>
      <c r="BL108" s="6"/>
      <c r="BM108" s="6"/>
      <c r="BN108" s="6"/>
      <c r="BO108" s="6"/>
      <c r="BP108" s="6"/>
      <c r="BQ108" s="6"/>
      <c r="BR108" s="6">
        <v>13859</v>
      </c>
      <c r="BS108" s="6"/>
      <c r="BT108" s="6"/>
      <c r="BU108" s="6"/>
      <c r="BV108" s="6"/>
      <c r="BW108" s="6"/>
      <c r="BX108" s="6">
        <v>660724.93999999994</v>
      </c>
      <c r="BY108" s="6"/>
      <c r="BZ108" s="6"/>
      <c r="CA108" s="6"/>
      <c r="CB108" s="6"/>
      <c r="CC108" s="6"/>
      <c r="CD108" s="6"/>
      <c r="CE108" s="6"/>
      <c r="CF108" s="6">
        <v>0</v>
      </c>
      <c r="CG108" s="6">
        <f t="shared" si="3"/>
        <v>3836440.8149999999</v>
      </c>
      <c r="CI108" s="6">
        <v>112569</v>
      </c>
      <c r="CJ108" s="6">
        <v>125223</v>
      </c>
      <c r="CK108" s="6">
        <v>90879</v>
      </c>
      <c r="CL108" s="6"/>
      <c r="CM108" s="6"/>
      <c r="CN108" s="6"/>
      <c r="CO108" s="6">
        <v>337707</v>
      </c>
      <c r="CP108" s="6">
        <v>112464</v>
      </c>
      <c r="CQ108" s="6">
        <v>1463397</v>
      </c>
      <c r="CR108" s="6"/>
      <c r="CS108" s="6"/>
      <c r="CT108" s="6"/>
      <c r="CU108" s="6"/>
      <c r="CV108" s="6"/>
      <c r="CW108" s="6"/>
      <c r="CX108" s="6">
        <v>0</v>
      </c>
      <c r="CY108" s="6"/>
      <c r="CZ108" s="6"/>
      <c r="DB108" s="6"/>
      <c r="DC108" s="6"/>
      <c r="DF108" s="6"/>
      <c r="DG108" s="6"/>
      <c r="DH108" s="6"/>
      <c r="DI108" s="6"/>
      <c r="DJ108" s="6"/>
      <c r="DK108" s="6"/>
      <c r="DL108" s="6">
        <v>10475</v>
      </c>
      <c r="DM108" s="6"/>
      <c r="DN108" s="6"/>
      <c r="DO108" s="6"/>
      <c r="DP108" s="6">
        <v>28275</v>
      </c>
      <c r="DU108" s="6">
        <f>VLOOKUP($A108,[3]Totals!$B$2:$K$119,10,FALSE)</f>
        <v>241621.21</v>
      </c>
      <c r="DV108" s="6">
        <f>VLOOKUP($A108,[3]Totals!$B$2:$K$119,9,FALSE)</f>
        <v>168018</v>
      </c>
    </row>
    <row r="109" spans="1:126" x14ac:dyDescent="0.2">
      <c r="A109" s="3">
        <v>326</v>
      </c>
      <c r="B109" s="2" t="s">
        <v>16</v>
      </c>
      <c r="C109" t="s">
        <v>7</v>
      </c>
      <c r="D109">
        <v>2</v>
      </c>
      <c r="E109" s="1">
        <v>300</v>
      </c>
      <c r="F109" s="4">
        <v>0.437</v>
      </c>
      <c r="G109">
        <v>131</v>
      </c>
      <c r="H109" s="6">
        <v>195277</v>
      </c>
      <c r="I109" s="6"/>
      <c r="J109" s="6"/>
      <c r="K109" s="6">
        <v>67876</v>
      </c>
      <c r="L109" s="6">
        <v>4177</v>
      </c>
      <c r="M109" s="6">
        <v>78183</v>
      </c>
      <c r="N109" s="6">
        <v>60194</v>
      </c>
      <c r="O109" s="6">
        <v>101190</v>
      </c>
      <c r="P109" s="6">
        <v>112569</v>
      </c>
      <c r="Q109" s="6"/>
      <c r="R109" s="6">
        <v>562845</v>
      </c>
      <c r="S109" s="6"/>
      <c r="T109" s="6">
        <v>187440</v>
      </c>
      <c r="U109" s="6"/>
      <c r="V109" s="6"/>
      <c r="W109" s="6"/>
      <c r="X109" s="6"/>
      <c r="Y109" s="6"/>
      <c r="Z109" s="6"/>
      <c r="AA109" s="6"/>
      <c r="AB109" s="6"/>
      <c r="AC109" s="6"/>
      <c r="AD109" s="6">
        <v>119941</v>
      </c>
      <c r="AE109" s="6">
        <v>112569</v>
      </c>
      <c r="AF109" s="6">
        <v>112569</v>
      </c>
      <c r="AG109" s="6">
        <v>337707</v>
      </c>
      <c r="AH109" s="6"/>
      <c r="AI109" s="6"/>
      <c r="AJ109" s="6"/>
      <c r="AK109" s="6"/>
      <c r="AL109" s="6"/>
      <c r="AM109" s="6"/>
      <c r="AN109" s="6"/>
      <c r="AO109" s="6">
        <v>675414</v>
      </c>
      <c r="AP109" s="6"/>
      <c r="AQ109" s="6"/>
      <c r="AR109" s="6"/>
      <c r="AS109" s="6">
        <f>54400-27200</f>
        <v>27200</v>
      </c>
      <c r="AT109" s="6">
        <f>54400-44200</f>
        <v>10200</v>
      </c>
      <c r="AU109" s="6">
        <v>10200</v>
      </c>
      <c r="AV109" s="6"/>
      <c r="AW109" s="6">
        <v>71400</v>
      </c>
      <c r="AX109" s="6"/>
      <c r="AY109" s="6"/>
      <c r="AZ109" s="6">
        <v>136028.46999999997</v>
      </c>
      <c r="BA109" s="6"/>
      <c r="BB109" s="6"/>
      <c r="BC109" s="6"/>
      <c r="BD109" s="6"/>
      <c r="BE109" s="6"/>
      <c r="BF109" s="6"/>
      <c r="BG109" s="6"/>
      <c r="BH109" s="6">
        <v>117087</v>
      </c>
      <c r="BI109" s="6">
        <v>20955</v>
      </c>
      <c r="BJ109" s="6"/>
      <c r="BK109" s="6"/>
      <c r="BL109" s="6"/>
      <c r="BM109" s="6"/>
      <c r="BN109" s="6"/>
      <c r="BO109" s="6"/>
      <c r="BP109" s="6"/>
      <c r="BQ109" s="6"/>
      <c r="BR109" s="6"/>
      <c r="BS109" s="6"/>
      <c r="BT109" s="6"/>
      <c r="BU109" s="6"/>
      <c r="BV109" s="6"/>
      <c r="BW109" s="6"/>
      <c r="BX109" s="6">
        <v>331629</v>
      </c>
      <c r="BY109" s="6"/>
      <c r="BZ109" s="6"/>
      <c r="CA109" s="6"/>
      <c r="CB109" s="6"/>
      <c r="CC109" s="6">
        <v>88329</v>
      </c>
      <c r="CD109" s="6"/>
      <c r="CE109" s="6"/>
      <c r="CF109" s="6">
        <v>0</v>
      </c>
      <c r="CG109" s="6">
        <f t="shared" si="3"/>
        <v>3540979.4699999997</v>
      </c>
      <c r="CI109" s="6">
        <v>112569</v>
      </c>
      <c r="CJ109" s="6">
        <v>125223</v>
      </c>
      <c r="CK109" s="6">
        <v>90879</v>
      </c>
      <c r="CL109" s="6"/>
      <c r="CM109" s="6"/>
      <c r="CN109" s="6"/>
      <c r="CO109" s="6">
        <v>337707</v>
      </c>
      <c r="CP109" s="6">
        <v>74976</v>
      </c>
      <c r="CQ109" s="6">
        <v>1238259</v>
      </c>
      <c r="CR109" s="6"/>
      <c r="CS109" s="6"/>
      <c r="CT109" s="6"/>
      <c r="CU109" s="6"/>
      <c r="CV109" s="6"/>
      <c r="CW109" s="6"/>
      <c r="CX109" s="6">
        <v>0</v>
      </c>
      <c r="CY109" s="6"/>
      <c r="CZ109" s="6"/>
      <c r="DB109" s="6">
        <v>112569</v>
      </c>
      <c r="DC109" s="6"/>
      <c r="DF109" s="6"/>
      <c r="DG109" s="6"/>
      <c r="DH109" s="6"/>
      <c r="DI109" s="6"/>
      <c r="DJ109" s="6"/>
      <c r="DK109" s="6"/>
      <c r="DL109" s="6">
        <v>2623</v>
      </c>
      <c r="DM109" s="6"/>
      <c r="DN109" s="6"/>
      <c r="DO109" s="6"/>
      <c r="DP109" s="6">
        <v>10575</v>
      </c>
      <c r="DU109" s="6">
        <f>VLOOKUP($A109,[3]Totals!$B$2:$K$119,10,FALSE)</f>
        <v>127283.02</v>
      </c>
      <c r="DV109" s="6">
        <f>VLOOKUP($A109,[3]Totals!$B$2:$K$119,9,FALSE)</f>
        <v>251984</v>
      </c>
    </row>
    <row r="110" spans="1:126" x14ac:dyDescent="0.2">
      <c r="A110" s="3">
        <v>327</v>
      </c>
      <c r="B110" s="2" t="s">
        <v>15</v>
      </c>
      <c r="C110" t="s">
        <v>7</v>
      </c>
      <c r="D110">
        <v>4</v>
      </c>
      <c r="E110" s="1">
        <v>489</v>
      </c>
      <c r="F110" s="4">
        <v>0.624</v>
      </c>
      <c r="G110">
        <v>305</v>
      </c>
      <c r="H110" s="6">
        <v>195277</v>
      </c>
      <c r="I110" s="6"/>
      <c r="J110" s="6"/>
      <c r="K110" s="6">
        <v>67876</v>
      </c>
      <c r="L110" s="6">
        <v>4652</v>
      </c>
      <c r="M110" s="6">
        <v>78183</v>
      </c>
      <c r="N110" s="6">
        <v>60194</v>
      </c>
      <c r="O110" s="6">
        <v>101190</v>
      </c>
      <c r="P110" s="6">
        <v>112569</v>
      </c>
      <c r="Q110" s="6">
        <v>337707</v>
      </c>
      <c r="R110" s="6">
        <v>112569</v>
      </c>
      <c r="S110" s="6">
        <v>337707</v>
      </c>
      <c r="T110" s="6">
        <v>262416</v>
      </c>
      <c r="U110" s="6"/>
      <c r="V110" s="6"/>
      <c r="W110" s="6"/>
      <c r="X110" s="6"/>
      <c r="Y110" s="6"/>
      <c r="Z110" s="6"/>
      <c r="AA110" s="6"/>
      <c r="AB110" s="6"/>
      <c r="AC110" s="6"/>
      <c r="AD110" s="6">
        <v>203832</v>
      </c>
      <c r="AE110" s="6">
        <v>112569</v>
      </c>
      <c r="AF110" s="6">
        <v>450276</v>
      </c>
      <c r="AG110" s="6">
        <v>787983</v>
      </c>
      <c r="AH110" s="6"/>
      <c r="AI110" s="6">
        <v>74976</v>
      </c>
      <c r="AJ110" s="6"/>
      <c r="AK110" s="6">
        <v>110030</v>
      </c>
      <c r="AL110" s="6"/>
      <c r="AM110" s="6"/>
      <c r="AN110" s="6"/>
      <c r="AO110" s="6">
        <v>1463397</v>
      </c>
      <c r="AP110" s="6"/>
      <c r="AQ110" s="6"/>
      <c r="AR110" s="6"/>
      <c r="AS110" s="6">
        <f>54400-20400</f>
        <v>34000</v>
      </c>
      <c r="AT110" s="6">
        <f>54400-44200</f>
        <v>10200</v>
      </c>
      <c r="AU110" s="6">
        <v>10200</v>
      </c>
      <c r="AV110" s="6"/>
      <c r="AW110" s="6">
        <v>64600</v>
      </c>
      <c r="AX110" s="6"/>
      <c r="AY110" s="6"/>
      <c r="AZ110" s="6">
        <v>221729.75</v>
      </c>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v>772114.1</v>
      </c>
      <c r="BY110" s="6"/>
      <c r="BZ110" s="6"/>
      <c r="CA110" s="6"/>
      <c r="CB110" s="6"/>
      <c r="CC110" s="6">
        <v>260048</v>
      </c>
      <c r="CD110" s="6"/>
      <c r="CE110" s="6"/>
      <c r="CF110" s="6">
        <v>0</v>
      </c>
      <c r="CG110" s="6">
        <f t="shared" si="3"/>
        <v>6246294.8499999996</v>
      </c>
      <c r="CI110" s="6">
        <v>112569</v>
      </c>
      <c r="CJ110" s="6">
        <v>187835</v>
      </c>
      <c r="CK110" s="6">
        <v>90879</v>
      </c>
      <c r="CL110" s="6">
        <v>60767</v>
      </c>
      <c r="CM110" s="6"/>
      <c r="CN110" s="6"/>
      <c r="CO110" s="6">
        <v>506561</v>
      </c>
      <c r="CP110" s="6">
        <v>149952</v>
      </c>
      <c r="CQ110" s="6">
        <v>2251380</v>
      </c>
      <c r="CR110" s="6"/>
      <c r="CS110" s="6"/>
      <c r="CT110" s="6"/>
      <c r="CU110" s="6"/>
      <c r="CV110" s="6"/>
      <c r="CW110" s="6"/>
      <c r="CX110" s="6">
        <v>0</v>
      </c>
      <c r="CY110" s="6"/>
      <c r="CZ110" s="6"/>
      <c r="DB110" s="6">
        <v>337707</v>
      </c>
      <c r="DC110" s="6"/>
      <c r="DF110" s="6"/>
      <c r="DG110" s="6"/>
      <c r="DH110" s="6"/>
      <c r="DI110" s="6"/>
      <c r="DJ110" s="6"/>
      <c r="DK110" s="6"/>
      <c r="DL110" s="6">
        <v>6105</v>
      </c>
      <c r="DM110" s="6"/>
      <c r="DN110" s="6"/>
      <c r="DO110" s="6"/>
      <c r="DP110" s="6">
        <v>26675</v>
      </c>
      <c r="DU110" s="6">
        <f>VLOOKUP($A110,[3]Totals!$B$2:$K$119,10,FALSE)</f>
        <v>279778.52</v>
      </c>
      <c r="DV110" s="6">
        <f>VLOOKUP($A110,[3]Totals!$B$2:$K$119,9,FALSE)</f>
        <v>426475</v>
      </c>
    </row>
    <row r="111" spans="1:126" x14ac:dyDescent="0.2">
      <c r="A111" s="3">
        <v>328</v>
      </c>
      <c r="B111" s="2" t="s">
        <v>14</v>
      </c>
      <c r="C111" t="s">
        <v>7</v>
      </c>
      <c r="D111">
        <v>1</v>
      </c>
      <c r="E111" s="1">
        <v>549</v>
      </c>
      <c r="F111" s="4">
        <v>0.53600000000000003</v>
      </c>
      <c r="G111">
        <v>294</v>
      </c>
      <c r="H111" s="6">
        <v>195277</v>
      </c>
      <c r="I111" s="6"/>
      <c r="J111" s="6"/>
      <c r="K111" s="6">
        <v>67876</v>
      </c>
      <c r="L111" s="6">
        <v>5362</v>
      </c>
      <c r="M111" s="6">
        <v>78183</v>
      </c>
      <c r="N111" s="6">
        <v>60194</v>
      </c>
      <c r="O111" s="6">
        <v>151785</v>
      </c>
      <c r="P111" s="6">
        <v>112569</v>
      </c>
      <c r="Q111" s="6"/>
      <c r="R111" s="6">
        <v>450276</v>
      </c>
      <c r="S111" s="6"/>
      <c r="T111" s="6">
        <v>149952</v>
      </c>
      <c r="U111" s="6"/>
      <c r="V111" s="6"/>
      <c r="W111" s="6"/>
      <c r="X111" s="6"/>
      <c r="Y111" s="6"/>
      <c r="Z111" s="6"/>
      <c r="AA111" s="6"/>
      <c r="AB111" s="6"/>
      <c r="AC111" s="6"/>
      <c r="AD111" s="6">
        <v>215657</v>
      </c>
      <c r="AE111" s="6">
        <v>112569</v>
      </c>
      <c r="AF111" s="6">
        <v>225138</v>
      </c>
      <c r="AG111" s="6">
        <v>1013121</v>
      </c>
      <c r="AH111" s="6"/>
      <c r="AI111" s="6">
        <v>149952</v>
      </c>
      <c r="AJ111" s="6"/>
      <c r="AK111" s="6"/>
      <c r="AL111" s="6"/>
      <c r="AM111" s="6"/>
      <c r="AN111" s="6"/>
      <c r="AO111" s="6">
        <v>1688535</v>
      </c>
      <c r="AP111" s="6"/>
      <c r="AQ111" s="6">
        <v>37488</v>
      </c>
      <c r="AR111" s="6"/>
      <c r="AS111" s="6"/>
      <c r="AT111" s="6"/>
      <c r="AU111" s="6"/>
      <c r="AV111" s="6"/>
      <c r="AW111" s="6">
        <v>0</v>
      </c>
      <c r="AX111" s="6"/>
      <c r="AY111" s="6"/>
      <c r="AZ111" s="6">
        <v>248934.06</v>
      </c>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v>744266.66</v>
      </c>
      <c r="BY111" s="6"/>
      <c r="BZ111" s="6"/>
      <c r="CA111" s="6"/>
      <c r="CB111" s="6"/>
      <c r="CC111" s="6"/>
      <c r="CD111" s="6"/>
      <c r="CE111" s="6">
        <v>112569</v>
      </c>
      <c r="CF111" s="6">
        <v>337707</v>
      </c>
      <c r="CG111" s="6">
        <f t="shared" si="3"/>
        <v>6157410.7199999997</v>
      </c>
      <c r="CI111" s="6">
        <v>112569</v>
      </c>
      <c r="CJ111" s="6">
        <v>219141</v>
      </c>
      <c r="CK111" s="6">
        <v>90879</v>
      </c>
      <c r="CL111" s="6">
        <v>70895</v>
      </c>
      <c r="CM111" s="6"/>
      <c r="CN111" s="6"/>
      <c r="CO111" s="6">
        <v>506561</v>
      </c>
      <c r="CP111" s="6">
        <v>149952</v>
      </c>
      <c r="CQ111" s="6">
        <v>2589087</v>
      </c>
      <c r="CR111" s="6"/>
      <c r="CS111" s="6"/>
      <c r="CT111" s="6"/>
      <c r="CU111" s="6"/>
      <c r="CV111" s="6"/>
      <c r="CW111" s="6"/>
      <c r="CX111" s="6">
        <v>0</v>
      </c>
      <c r="CY111" s="6"/>
      <c r="CZ111" s="6"/>
      <c r="DB111" s="6">
        <v>337707</v>
      </c>
      <c r="DC111" s="6"/>
      <c r="DF111" s="6"/>
      <c r="DG111" s="6"/>
      <c r="DH111" s="6"/>
      <c r="DI111" s="6"/>
      <c r="DJ111" s="6"/>
      <c r="DK111" s="6"/>
      <c r="DL111" s="6">
        <v>5875</v>
      </c>
      <c r="DM111" s="6"/>
      <c r="DN111" s="6"/>
      <c r="DO111" s="6"/>
      <c r="DP111" s="6">
        <v>33150</v>
      </c>
      <c r="DU111" s="6">
        <f>VLOOKUP($A111,[3]Totals!$B$2:$K$119,10,FALSE)</f>
        <v>147699.26999999999</v>
      </c>
      <c r="DV111" s="6">
        <f>VLOOKUP($A111,[3]Totals!$B$2:$K$119,9,FALSE)</f>
        <v>345319</v>
      </c>
    </row>
    <row r="112" spans="1:126" x14ac:dyDescent="0.2">
      <c r="A112" s="3">
        <v>329</v>
      </c>
      <c r="B112" s="2" t="s">
        <v>13</v>
      </c>
      <c r="C112" t="s">
        <v>7</v>
      </c>
      <c r="D112">
        <v>8</v>
      </c>
      <c r="E112" s="1">
        <v>489</v>
      </c>
      <c r="F112" s="4">
        <v>0.78900000000000003</v>
      </c>
      <c r="G112">
        <v>386</v>
      </c>
      <c r="H112" s="6">
        <v>195277</v>
      </c>
      <c r="I112" s="6"/>
      <c r="J112" s="6"/>
      <c r="K112" s="6">
        <v>67876</v>
      </c>
      <c r="L112" s="6">
        <v>6815</v>
      </c>
      <c r="M112" s="6">
        <v>78183</v>
      </c>
      <c r="N112" s="6">
        <v>60194</v>
      </c>
      <c r="O112" s="6">
        <v>101190</v>
      </c>
      <c r="P112" s="6">
        <v>112569</v>
      </c>
      <c r="Q112" s="6">
        <v>225138</v>
      </c>
      <c r="R112" s="6">
        <v>112569</v>
      </c>
      <c r="S112" s="6">
        <v>225138</v>
      </c>
      <c r="T112" s="6">
        <v>187440</v>
      </c>
      <c r="U112" s="6"/>
      <c r="V112" s="6"/>
      <c r="W112" s="6"/>
      <c r="X112" s="6"/>
      <c r="Y112" s="6"/>
      <c r="Z112" s="6"/>
      <c r="AA112" s="6"/>
      <c r="AB112" s="6"/>
      <c r="AC112" s="6"/>
      <c r="AD112" s="6">
        <v>166353</v>
      </c>
      <c r="AE112" s="6">
        <v>112569</v>
      </c>
      <c r="AF112" s="6">
        <v>225138</v>
      </c>
      <c r="AG112" s="6">
        <v>900552</v>
      </c>
      <c r="AH112" s="6"/>
      <c r="AI112" s="6">
        <v>149952</v>
      </c>
      <c r="AJ112" s="6"/>
      <c r="AK112" s="6"/>
      <c r="AL112" s="6"/>
      <c r="AM112" s="6"/>
      <c r="AN112" s="6"/>
      <c r="AO112" s="6"/>
      <c r="AP112" s="6">
        <v>10131</v>
      </c>
      <c r="AQ112" s="6"/>
      <c r="AR112" s="6"/>
      <c r="AS112" s="6">
        <f>40800-13600</f>
        <v>27200</v>
      </c>
      <c r="AT112" s="6">
        <f>40800-37400</f>
        <v>3400</v>
      </c>
      <c r="AU112" s="6">
        <v>10200</v>
      </c>
      <c r="AV112" s="6"/>
      <c r="AW112" s="6">
        <v>51000</v>
      </c>
      <c r="AX112" s="6"/>
      <c r="AY112" s="6"/>
      <c r="AZ112" s="6">
        <v>221730.03</v>
      </c>
      <c r="BA112" s="6"/>
      <c r="BB112" s="6"/>
      <c r="BC112" s="6"/>
      <c r="BD112" s="6"/>
      <c r="BE112" s="6"/>
      <c r="BF112" s="6"/>
      <c r="BG112" s="6"/>
      <c r="BH112" s="6">
        <v>117087</v>
      </c>
      <c r="BI112" s="6">
        <v>21955</v>
      </c>
      <c r="BJ112" s="6"/>
      <c r="BK112" s="6"/>
      <c r="BL112" s="6"/>
      <c r="BM112" s="6"/>
      <c r="BN112" s="6"/>
      <c r="BO112" s="6"/>
      <c r="BP112" s="6"/>
      <c r="BQ112" s="6"/>
      <c r="BR112" s="6"/>
      <c r="BS112" s="6"/>
      <c r="BT112" s="6"/>
      <c r="BU112" s="6"/>
      <c r="BV112" s="6"/>
      <c r="BW112" s="6"/>
      <c r="BX112" s="6">
        <v>977165.85499999998</v>
      </c>
      <c r="BY112" s="6"/>
      <c r="BZ112" s="6"/>
      <c r="CA112" s="6"/>
      <c r="CB112" s="6"/>
      <c r="CC112" s="6"/>
      <c r="CD112" s="6"/>
      <c r="CE112" s="6"/>
      <c r="CF112" s="6">
        <v>112569</v>
      </c>
      <c r="CG112" s="6">
        <f t="shared" si="3"/>
        <v>4479390.8849999998</v>
      </c>
      <c r="CI112" s="6">
        <v>112569</v>
      </c>
      <c r="CJ112" s="6">
        <v>187835</v>
      </c>
      <c r="CK112" s="6">
        <v>90879</v>
      </c>
      <c r="CL112" s="6">
        <v>60767</v>
      </c>
      <c r="CM112" s="6"/>
      <c r="CN112" s="6"/>
      <c r="CO112" s="6">
        <f>562845-DG112</f>
        <v>506561</v>
      </c>
      <c r="CP112" s="6">
        <v>112464</v>
      </c>
      <c r="CQ112" s="6">
        <v>2026242</v>
      </c>
      <c r="CR112" s="6"/>
      <c r="CS112" s="6"/>
      <c r="CT112" s="6"/>
      <c r="CU112" s="6"/>
      <c r="CV112" s="6"/>
      <c r="CW112" s="6"/>
      <c r="CX112" s="6">
        <v>0</v>
      </c>
      <c r="CY112" s="6"/>
      <c r="CZ112" s="6"/>
      <c r="DB112" s="6"/>
      <c r="DC112" s="6"/>
      <c r="DF112" s="6"/>
      <c r="DG112" s="6">
        <v>56284</v>
      </c>
      <c r="DH112" s="6"/>
      <c r="DI112" s="6"/>
      <c r="DJ112" s="6"/>
      <c r="DK112" s="6"/>
      <c r="DL112" s="6">
        <v>15481</v>
      </c>
      <c r="DM112" s="6"/>
      <c r="DN112" s="6"/>
      <c r="DO112" s="6"/>
      <c r="DP112" s="6">
        <v>47625</v>
      </c>
      <c r="DU112" s="6">
        <f>VLOOKUP($A112,[3]Totals!$B$2:$K$119,10,FALSE)</f>
        <v>312119.38</v>
      </c>
      <c r="DV112" s="6">
        <f>VLOOKUP($A112,[3]Totals!$B$2:$K$119,9,FALSE)</f>
        <v>412683</v>
      </c>
    </row>
    <row r="113" spans="1:126" x14ac:dyDescent="0.2">
      <c r="A113" s="3">
        <v>330</v>
      </c>
      <c r="B113" s="2" t="s">
        <v>12</v>
      </c>
      <c r="C113" t="s">
        <v>7</v>
      </c>
      <c r="D113">
        <v>6</v>
      </c>
      <c r="E113" s="1">
        <v>547</v>
      </c>
      <c r="F113" s="4">
        <v>0.38400000000000001</v>
      </c>
      <c r="G113">
        <v>210</v>
      </c>
      <c r="H113" s="6">
        <v>195277</v>
      </c>
      <c r="I113" s="6"/>
      <c r="J113" s="6"/>
      <c r="K113" s="6">
        <v>67876</v>
      </c>
      <c r="L113" s="6">
        <v>5831</v>
      </c>
      <c r="M113" s="6">
        <v>78183</v>
      </c>
      <c r="N113" s="6">
        <v>60194</v>
      </c>
      <c r="O113" s="6">
        <v>151785</v>
      </c>
      <c r="P113" s="6">
        <v>112569</v>
      </c>
      <c r="Q113" s="6">
        <v>450276</v>
      </c>
      <c r="R113" s="6"/>
      <c r="S113" s="6">
        <v>450276</v>
      </c>
      <c r="T113" s="6">
        <v>299904</v>
      </c>
      <c r="U113" s="6"/>
      <c r="V113" s="6"/>
      <c r="W113" s="6"/>
      <c r="X113" s="6"/>
      <c r="Y113" s="6"/>
      <c r="Z113" s="6"/>
      <c r="AA113" s="6"/>
      <c r="AB113" s="6"/>
      <c r="AC113" s="6"/>
      <c r="AD113" s="6">
        <v>193621</v>
      </c>
      <c r="AE113" s="6">
        <v>112569</v>
      </c>
      <c r="AF113" s="6">
        <v>225138</v>
      </c>
      <c r="AG113" s="6">
        <v>1013121</v>
      </c>
      <c r="AH113" s="6"/>
      <c r="AI113" s="6">
        <v>262416</v>
      </c>
      <c r="AJ113" s="6"/>
      <c r="AK113" s="6"/>
      <c r="AL113" s="6"/>
      <c r="AM113" s="6"/>
      <c r="AN113" s="6"/>
      <c r="AO113" s="6">
        <v>112569</v>
      </c>
      <c r="AP113" s="6"/>
      <c r="AQ113" s="6"/>
      <c r="AR113" s="6"/>
      <c r="AS113" s="6">
        <f>34000-6800</f>
        <v>27200</v>
      </c>
      <c r="AT113" s="6">
        <f>34000-30600</f>
        <v>3400</v>
      </c>
      <c r="AU113" s="6">
        <v>10200</v>
      </c>
      <c r="AV113" s="6"/>
      <c r="AW113" s="6">
        <v>37400</v>
      </c>
      <c r="AX113" s="6"/>
      <c r="AY113" s="6"/>
      <c r="AZ113" s="6">
        <v>248027.79</v>
      </c>
      <c r="BA113" s="6"/>
      <c r="BB113" s="6"/>
      <c r="BC113" s="6"/>
      <c r="BD113" s="6"/>
      <c r="BE113" s="6"/>
      <c r="BF113" s="6"/>
      <c r="BG113" s="6"/>
      <c r="BH113" s="6"/>
      <c r="BI113" s="6"/>
      <c r="BJ113" s="6"/>
      <c r="BK113" s="6"/>
      <c r="BL113" s="6"/>
      <c r="BM113" s="6"/>
      <c r="BN113" s="6"/>
      <c r="BO113" s="6"/>
      <c r="BP113" s="6"/>
      <c r="BQ113" s="6"/>
      <c r="BR113" s="6">
        <v>13859</v>
      </c>
      <c r="BS113" s="6"/>
      <c r="BT113" s="6"/>
      <c r="BU113" s="6"/>
      <c r="BV113" s="6"/>
      <c r="BW113" s="6"/>
      <c r="BX113" s="6">
        <v>531619</v>
      </c>
      <c r="BY113" s="6"/>
      <c r="BZ113" s="6"/>
      <c r="CA113" s="6"/>
      <c r="CB113" s="6"/>
      <c r="CC113" s="6"/>
      <c r="CD113" s="6"/>
      <c r="CE113" s="6"/>
      <c r="CF113" s="6">
        <v>43787</v>
      </c>
      <c r="CG113" s="6">
        <f t="shared" si="3"/>
        <v>4707097.79</v>
      </c>
      <c r="CI113" s="6">
        <v>112569</v>
      </c>
      <c r="CJ113" s="6">
        <v>219141</v>
      </c>
      <c r="CK113" s="6">
        <v>90879</v>
      </c>
      <c r="CL113" s="6">
        <v>70895</v>
      </c>
      <c r="CM113" s="6"/>
      <c r="CN113" s="6"/>
      <c r="CO113" s="6">
        <v>506561</v>
      </c>
      <c r="CP113" s="6">
        <v>149952</v>
      </c>
      <c r="CQ113" s="6">
        <v>2476518</v>
      </c>
      <c r="CR113" s="6"/>
      <c r="CS113" s="6"/>
      <c r="CT113" s="6"/>
      <c r="CU113" s="6"/>
      <c r="CV113" s="6"/>
      <c r="CW113" s="6"/>
      <c r="CX113" s="6">
        <v>0</v>
      </c>
      <c r="CY113" s="6"/>
      <c r="CZ113" s="6"/>
      <c r="DB113" s="6"/>
      <c r="DC113" s="6"/>
      <c r="DF113" s="6"/>
      <c r="DG113" s="6"/>
      <c r="DH113" s="6"/>
      <c r="DI113" s="6"/>
      <c r="DJ113" s="6"/>
      <c r="DK113" s="6"/>
      <c r="DL113" s="6">
        <v>4209</v>
      </c>
      <c r="DM113" s="6"/>
      <c r="DN113" s="6"/>
      <c r="DO113" s="6"/>
      <c r="DP113" s="6">
        <v>14575</v>
      </c>
      <c r="DU113" s="6">
        <f>VLOOKUP($A113,[3]Totals!$B$2:$K$119,10,FALSE)</f>
        <v>148342.76999999999</v>
      </c>
      <c r="DV113" s="6">
        <f>VLOOKUP($A113,[3]Totals!$B$2:$K$119,9,FALSE)</f>
        <v>160874</v>
      </c>
    </row>
    <row r="114" spans="1:126" x14ac:dyDescent="0.2">
      <c r="A114" s="3">
        <v>331</v>
      </c>
      <c r="B114" s="2" t="s">
        <v>11</v>
      </c>
      <c r="C114" t="s">
        <v>7</v>
      </c>
      <c r="D114">
        <v>6</v>
      </c>
      <c r="E114" s="1">
        <v>366</v>
      </c>
      <c r="F114" s="4">
        <v>0.30099999999999999</v>
      </c>
      <c r="G114">
        <v>110</v>
      </c>
      <c r="H114" s="6">
        <v>195277</v>
      </c>
      <c r="I114" s="6"/>
      <c r="J114" s="6"/>
      <c r="K114" s="6">
        <v>67876</v>
      </c>
      <c r="L114" s="6">
        <v>5061</v>
      </c>
      <c r="M114" s="6">
        <v>78183</v>
      </c>
      <c r="N114" s="6">
        <v>60194</v>
      </c>
      <c r="O114" s="6">
        <v>101190</v>
      </c>
      <c r="P114" s="6">
        <v>112569</v>
      </c>
      <c r="Q114" s="6">
        <v>225138</v>
      </c>
      <c r="R114" s="6"/>
      <c r="S114" s="6">
        <v>225138</v>
      </c>
      <c r="T114" s="6">
        <v>149952</v>
      </c>
      <c r="U114" s="6"/>
      <c r="V114" s="6"/>
      <c r="W114" s="6"/>
      <c r="X114" s="6"/>
      <c r="Y114" s="6"/>
      <c r="Z114" s="6"/>
      <c r="AA114" s="6"/>
      <c r="AB114" s="6"/>
      <c r="AC114" s="6"/>
      <c r="AD114" s="6">
        <v>125239</v>
      </c>
      <c r="AE114" s="6">
        <v>112569</v>
      </c>
      <c r="AF114" s="6">
        <v>112569</v>
      </c>
      <c r="AG114" s="6">
        <v>450276</v>
      </c>
      <c r="AH114" s="6"/>
      <c r="AI114" s="6"/>
      <c r="AJ114" s="6"/>
      <c r="AK114" s="6">
        <v>55015</v>
      </c>
      <c r="AL114" s="6"/>
      <c r="AM114" s="6"/>
      <c r="AN114" s="6"/>
      <c r="AO114" s="6"/>
      <c r="AP114" s="6">
        <v>20262</v>
      </c>
      <c r="AQ114" s="6"/>
      <c r="AR114" s="6"/>
      <c r="AS114" s="6"/>
      <c r="AT114" s="6"/>
      <c r="AU114" s="6"/>
      <c r="AV114" s="6"/>
      <c r="AW114" s="6">
        <v>0</v>
      </c>
      <c r="AX114" s="6"/>
      <c r="AY114" s="6"/>
      <c r="AZ114" s="6">
        <v>65676.259999999995</v>
      </c>
      <c r="BA114" s="6"/>
      <c r="BB114" s="6"/>
      <c r="BC114" s="6"/>
      <c r="BD114" s="6"/>
      <c r="BE114" s="6"/>
      <c r="BF114" s="6"/>
      <c r="BG114" s="6"/>
      <c r="BH114" s="6"/>
      <c r="BI114" s="6"/>
      <c r="BJ114" s="6"/>
      <c r="BK114" s="6"/>
      <c r="BL114" s="6"/>
      <c r="BM114" s="6"/>
      <c r="BN114" s="6"/>
      <c r="BO114" s="6"/>
      <c r="BP114" s="6"/>
      <c r="BQ114" s="6"/>
      <c r="BR114" s="6">
        <v>13859</v>
      </c>
      <c r="BS114" s="6"/>
      <c r="BT114" s="6"/>
      <c r="BU114" s="6"/>
      <c r="BV114" s="6"/>
      <c r="BW114" s="6"/>
      <c r="BX114" s="6">
        <v>278467</v>
      </c>
      <c r="BY114" s="6"/>
      <c r="BZ114" s="6"/>
      <c r="CA114" s="6"/>
      <c r="CB114" s="6"/>
      <c r="CC114" s="6"/>
      <c r="CD114" s="6"/>
      <c r="CE114" s="6"/>
      <c r="CF114" s="6">
        <v>0</v>
      </c>
      <c r="CG114" s="6">
        <f t="shared" si="3"/>
        <v>2454510.2599999998</v>
      </c>
      <c r="CI114" s="6">
        <v>112569</v>
      </c>
      <c r="CJ114" s="6">
        <v>140876</v>
      </c>
      <c r="CK114" s="6">
        <v>90879</v>
      </c>
      <c r="CL114" s="6"/>
      <c r="CM114" s="6"/>
      <c r="CN114" s="6"/>
      <c r="CO114" s="6">
        <v>337707</v>
      </c>
      <c r="CP114" s="6">
        <v>112464</v>
      </c>
      <c r="CQ114" s="6">
        <v>1801104</v>
      </c>
      <c r="CR114" s="6"/>
      <c r="CS114" s="6"/>
      <c r="CT114" s="6"/>
      <c r="CU114" s="6"/>
      <c r="CV114" s="6"/>
      <c r="CW114" s="6"/>
      <c r="CX114" s="6">
        <v>0</v>
      </c>
      <c r="CY114" s="6"/>
      <c r="CZ114" s="6"/>
      <c r="DB114" s="6"/>
      <c r="DC114" s="6"/>
      <c r="DF114" s="6"/>
      <c r="DG114" s="6"/>
      <c r="DH114" s="6"/>
      <c r="DI114" s="6"/>
      <c r="DJ114" s="6"/>
      <c r="DK114" s="6"/>
      <c r="DL114" s="6">
        <v>2195</v>
      </c>
      <c r="DM114" s="6"/>
      <c r="DN114" s="6"/>
      <c r="DO114" s="6"/>
      <c r="DP114" s="6">
        <v>3375</v>
      </c>
      <c r="DU114" s="6">
        <f>VLOOKUP($A114,[3]Totals!$B$2:$K$119,10,FALSE)</f>
        <v>111613.59</v>
      </c>
      <c r="DV114" s="6">
        <f>VLOOKUP($A114,[3]Totals!$B$2:$K$119,9,FALSE)</f>
        <v>290266</v>
      </c>
    </row>
    <row r="115" spans="1:126" x14ac:dyDescent="0.2">
      <c r="A115" s="3">
        <v>332</v>
      </c>
      <c r="B115" s="2" t="s">
        <v>10</v>
      </c>
      <c r="C115" t="s">
        <v>4</v>
      </c>
      <c r="D115">
        <v>6</v>
      </c>
      <c r="E115" s="1">
        <v>400</v>
      </c>
      <c r="F115" s="4">
        <v>0.73299999999999998</v>
      </c>
      <c r="G115">
        <v>293</v>
      </c>
      <c r="H115" s="6">
        <v>195277</v>
      </c>
      <c r="I115" s="6">
        <v>112569</v>
      </c>
      <c r="J115" s="6"/>
      <c r="K115" s="6">
        <v>67876</v>
      </c>
      <c r="L115" s="6">
        <v>5433</v>
      </c>
      <c r="M115" s="6">
        <v>78183</v>
      </c>
      <c r="N115" s="6">
        <v>60194</v>
      </c>
      <c r="O115" s="6">
        <v>151785</v>
      </c>
      <c r="P115" s="6">
        <v>112569</v>
      </c>
      <c r="Q115" s="6">
        <v>225138</v>
      </c>
      <c r="R115" s="6"/>
      <c r="S115" s="6">
        <v>225138</v>
      </c>
      <c r="T115" s="6">
        <v>149952</v>
      </c>
      <c r="U115" s="6"/>
      <c r="V115" s="6"/>
      <c r="W115" s="6"/>
      <c r="X115" s="6"/>
      <c r="Y115" s="6"/>
      <c r="Z115" s="6"/>
      <c r="AA115" s="6"/>
      <c r="AB115" s="6"/>
      <c r="AC115" s="6"/>
      <c r="AD115" s="6">
        <v>159136</v>
      </c>
      <c r="AE115" s="6">
        <v>112569</v>
      </c>
      <c r="AF115" s="6">
        <v>225138</v>
      </c>
      <c r="AG115" s="6">
        <v>1125690</v>
      </c>
      <c r="AH115" s="6"/>
      <c r="AI115" s="6">
        <v>299904</v>
      </c>
      <c r="AJ115" s="6"/>
      <c r="AK115" s="6"/>
      <c r="AL115" s="6">
        <v>117087</v>
      </c>
      <c r="AM115" s="6"/>
      <c r="AN115" s="6"/>
      <c r="AO115" s="6">
        <v>112569</v>
      </c>
      <c r="AP115" s="6"/>
      <c r="AQ115" s="6"/>
      <c r="AR115" s="6"/>
      <c r="AS115" s="6">
        <f>40800-13600</f>
        <v>27200</v>
      </c>
      <c r="AT115" s="6">
        <f>40800-37400</f>
        <v>3400</v>
      </c>
      <c r="AU115" s="6">
        <v>10200</v>
      </c>
      <c r="AV115" s="6"/>
      <c r="AW115" s="6">
        <v>51000</v>
      </c>
      <c r="AX115" s="6"/>
      <c r="AY115" s="6"/>
      <c r="AZ115" s="6">
        <v>181371.87</v>
      </c>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v>741734.91999999993</v>
      </c>
      <c r="BY115" s="6"/>
      <c r="BZ115" s="6"/>
      <c r="CA115" s="6"/>
      <c r="CB115" s="6"/>
      <c r="CC115" s="6"/>
      <c r="CD115" s="6"/>
      <c r="CE115" s="6"/>
      <c r="CF115" s="6">
        <v>0</v>
      </c>
      <c r="CG115" s="6">
        <f t="shared" si="3"/>
        <v>4551113.79</v>
      </c>
      <c r="CI115" s="6">
        <v>112569</v>
      </c>
      <c r="CJ115" s="6">
        <v>62612</v>
      </c>
      <c r="CK115" s="6">
        <v>90879</v>
      </c>
      <c r="CL115" s="6">
        <v>50639</v>
      </c>
      <c r="CM115" s="6"/>
      <c r="CN115" s="6"/>
      <c r="CO115" s="6">
        <v>337707</v>
      </c>
      <c r="CP115" s="6">
        <v>74976</v>
      </c>
      <c r="CQ115" s="6">
        <v>1789847</v>
      </c>
      <c r="CR115" s="6">
        <v>225138</v>
      </c>
      <c r="CS115" s="6">
        <v>23000</v>
      </c>
      <c r="CT115" s="6"/>
      <c r="CU115" s="6">
        <v>100000</v>
      </c>
      <c r="CV115" s="6"/>
      <c r="CW115" s="6"/>
      <c r="CX115" s="6">
        <v>0</v>
      </c>
      <c r="CY115" s="6"/>
      <c r="CZ115" s="6"/>
      <c r="DB115" s="6"/>
      <c r="DC115" s="6"/>
      <c r="DF115" s="6"/>
      <c r="DG115" s="6"/>
      <c r="DH115" s="6"/>
      <c r="DI115" s="6"/>
      <c r="DJ115" s="6"/>
      <c r="DK115" s="6"/>
      <c r="DL115" s="6">
        <v>5879</v>
      </c>
      <c r="DM115" s="6"/>
      <c r="DN115" s="6"/>
      <c r="DO115" s="6"/>
      <c r="DP115" s="6">
        <v>26125</v>
      </c>
      <c r="DU115" s="6">
        <f>VLOOKUP($A115,[3]Totals!$B$2:$K$119,10,FALSE)</f>
        <v>212734.14</v>
      </c>
      <c r="DV115" s="6">
        <f>VLOOKUP($A115,[3]Totals!$B$2:$K$119,9,FALSE)</f>
        <v>225138</v>
      </c>
    </row>
    <row r="116" spans="1:126" x14ac:dyDescent="0.2">
      <c r="A116" s="3">
        <v>333</v>
      </c>
      <c r="B116" s="2" t="s">
        <v>9</v>
      </c>
      <c r="C116" t="s">
        <v>7</v>
      </c>
      <c r="D116">
        <v>6</v>
      </c>
      <c r="E116" s="1">
        <v>434</v>
      </c>
      <c r="F116" s="4">
        <v>0.28599999999999998</v>
      </c>
      <c r="G116">
        <v>124</v>
      </c>
      <c r="H116" s="6">
        <f>195277/2</f>
        <v>97638.5</v>
      </c>
      <c r="I116" s="6"/>
      <c r="J116" s="6"/>
      <c r="K116" s="6">
        <v>67876</v>
      </c>
      <c r="L116" s="6">
        <v>5725</v>
      </c>
      <c r="M116" s="6">
        <v>78183</v>
      </c>
      <c r="N116" s="6">
        <v>60194</v>
      </c>
      <c r="O116" s="6">
        <v>101190</v>
      </c>
      <c r="P116" s="6">
        <v>112569</v>
      </c>
      <c r="Q116" s="6"/>
      <c r="R116" s="6"/>
      <c r="S116" s="6"/>
      <c r="T116" s="6"/>
      <c r="U116" s="6"/>
      <c r="V116" s="6"/>
      <c r="W116" s="6"/>
      <c r="X116" s="6"/>
      <c r="Y116" s="6"/>
      <c r="Z116" s="6"/>
      <c r="AA116" s="6"/>
      <c r="AB116" s="6"/>
      <c r="AC116" s="6"/>
      <c r="AD116" s="6">
        <v>133787</v>
      </c>
      <c r="AE116" s="6">
        <v>112569</v>
      </c>
      <c r="AF116" s="6">
        <v>112569</v>
      </c>
      <c r="AG116" s="6">
        <v>450276</v>
      </c>
      <c r="AH116" s="6"/>
      <c r="AI116" s="6"/>
      <c r="AJ116" s="6"/>
      <c r="AK116" s="6"/>
      <c r="AL116" s="6"/>
      <c r="AM116" s="6"/>
      <c r="AN116" s="6"/>
      <c r="AO116" s="6"/>
      <c r="AP116" s="6">
        <v>15760</v>
      </c>
      <c r="AQ116" s="6"/>
      <c r="AR116" s="6"/>
      <c r="AS116" s="6"/>
      <c r="AT116" s="6"/>
      <c r="AU116" s="6"/>
      <c r="AV116" s="6"/>
      <c r="AW116" s="6">
        <v>0</v>
      </c>
      <c r="AX116" s="6"/>
      <c r="AY116" s="6"/>
      <c r="AZ116" s="6">
        <v>0</v>
      </c>
      <c r="BA116" s="6"/>
      <c r="BB116" s="6">
        <v>10850</v>
      </c>
      <c r="BC116" s="6"/>
      <c r="BD116" s="6"/>
      <c r="BE116" s="6"/>
      <c r="BF116" s="6"/>
      <c r="BG116" s="6"/>
      <c r="BH116" s="6"/>
      <c r="BI116" s="6"/>
      <c r="BJ116" s="6"/>
      <c r="BK116" s="6"/>
      <c r="BL116" s="6"/>
      <c r="BM116" s="6"/>
      <c r="BN116" s="6"/>
      <c r="BO116" s="6"/>
      <c r="BP116" s="6"/>
      <c r="BQ116" s="6"/>
      <c r="BR116" s="6"/>
      <c r="BS116" s="6"/>
      <c r="BT116" s="6"/>
      <c r="BU116" s="6"/>
      <c r="BV116" s="6"/>
      <c r="BW116" s="6"/>
      <c r="BX116" s="6">
        <v>313908.68</v>
      </c>
      <c r="BY116" s="6"/>
      <c r="BZ116" s="6"/>
      <c r="CA116" s="6"/>
      <c r="CB116" s="6"/>
      <c r="CC116" s="6"/>
      <c r="CD116" s="6"/>
      <c r="CE116" s="6"/>
      <c r="CF116" s="6">
        <v>112569</v>
      </c>
      <c r="CG116" s="6">
        <f t="shared" si="3"/>
        <v>1785664.18</v>
      </c>
      <c r="CI116" s="6">
        <v>112569</v>
      </c>
      <c r="CJ116" s="6">
        <v>172182</v>
      </c>
      <c r="CK116" s="6">
        <v>90879</v>
      </c>
      <c r="CL116" s="6">
        <v>55703</v>
      </c>
      <c r="CM116" s="6"/>
      <c r="CN116" s="6"/>
      <c r="CO116" s="6">
        <v>506561</v>
      </c>
      <c r="CP116" s="6"/>
      <c r="CQ116" s="6">
        <v>2251380</v>
      </c>
      <c r="CR116" s="6"/>
      <c r="CS116" s="6"/>
      <c r="CT116" s="6"/>
      <c r="CU116" s="6"/>
      <c r="CV116" s="6"/>
      <c r="CW116" s="6"/>
      <c r="CX116" s="6">
        <v>0</v>
      </c>
      <c r="CY116" s="6"/>
      <c r="CZ116" s="6"/>
      <c r="DB116" s="6"/>
      <c r="DC116" s="6"/>
      <c r="DF116" s="6"/>
      <c r="DG116" s="6"/>
      <c r="DH116" s="6"/>
      <c r="DI116" s="6"/>
      <c r="DJ116" s="6"/>
      <c r="DK116" s="6"/>
      <c r="DL116" s="6">
        <v>2479</v>
      </c>
      <c r="DM116" s="6"/>
      <c r="DN116" s="6"/>
      <c r="DO116" s="6"/>
      <c r="DP116" s="6">
        <v>20350</v>
      </c>
      <c r="DU116" s="6">
        <f>VLOOKUP($A116,[3]Totals!$B$2:$K$119,10,FALSE)</f>
        <v>135082.14000000001</v>
      </c>
      <c r="DV116" s="6">
        <f>VLOOKUP($A116,[3]Totals!$B$2:$K$119,9,FALSE)</f>
        <v>56285</v>
      </c>
    </row>
    <row r="117" spans="1:126" x14ac:dyDescent="0.2">
      <c r="A117" s="3">
        <v>336</v>
      </c>
      <c r="B117" s="2" t="s">
        <v>8</v>
      </c>
      <c r="C117" t="s">
        <v>7</v>
      </c>
      <c r="D117">
        <v>4</v>
      </c>
      <c r="E117" s="1">
        <v>366</v>
      </c>
      <c r="F117" s="4">
        <v>0.42899999999999999</v>
      </c>
      <c r="G117">
        <v>157</v>
      </c>
      <c r="H117" s="6">
        <v>195277</v>
      </c>
      <c r="I117" s="6"/>
      <c r="J117" s="6"/>
      <c r="K117" s="6">
        <v>67876</v>
      </c>
      <c r="L117" s="6">
        <v>5274</v>
      </c>
      <c r="M117" s="6">
        <v>78183</v>
      </c>
      <c r="N117" s="6">
        <v>60194</v>
      </c>
      <c r="O117" s="6">
        <v>101190</v>
      </c>
      <c r="P117" s="6">
        <v>112569</v>
      </c>
      <c r="Q117" s="6">
        <v>337707</v>
      </c>
      <c r="R117" s="6"/>
      <c r="S117" s="6">
        <v>337707</v>
      </c>
      <c r="T117" s="6">
        <v>224928</v>
      </c>
      <c r="U117" s="6"/>
      <c r="V117" s="6"/>
      <c r="W117" s="6"/>
      <c r="X117" s="6"/>
      <c r="Y117" s="6"/>
      <c r="Z117" s="6"/>
      <c r="AA117" s="6"/>
      <c r="AB117" s="6"/>
      <c r="AC117" s="6"/>
      <c r="AD117" s="6">
        <v>138216</v>
      </c>
      <c r="AE117" s="6">
        <v>112569</v>
      </c>
      <c r="AF117" s="6">
        <v>112569</v>
      </c>
      <c r="AG117" s="6">
        <v>787983</v>
      </c>
      <c r="AH117" s="6"/>
      <c r="AI117" s="6">
        <v>187440</v>
      </c>
      <c r="AJ117" s="6"/>
      <c r="AK117" s="6"/>
      <c r="AL117" s="6"/>
      <c r="AM117" s="6"/>
      <c r="AN117" s="6"/>
      <c r="AO117" s="6">
        <v>225138</v>
      </c>
      <c r="AP117" s="6"/>
      <c r="AQ117" s="6"/>
      <c r="AR117" s="6"/>
      <c r="AS117" s="6">
        <f>40800-13600</f>
        <v>27200</v>
      </c>
      <c r="AT117" s="6">
        <f>40800-37400</f>
        <v>3400</v>
      </c>
      <c r="AU117" s="6">
        <v>10200</v>
      </c>
      <c r="AV117" s="6"/>
      <c r="AW117" s="6">
        <v>51000</v>
      </c>
      <c r="AX117" s="6"/>
      <c r="AY117" s="6"/>
      <c r="AZ117" s="6">
        <v>165958.29999999999</v>
      </c>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v>397449</v>
      </c>
      <c r="BY117" s="6"/>
      <c r="BZ117" s="6"/>
      <c r="CA117" s="6"/>
      <c r="CB117" s="6"/>
      <c r="CC117" s="6"/>
      <c r="CD117" s="6"/>
      <c r="CE117" s="6"/>
      <c r="CF117" s="6">
        <v>0</v>
      </c>
      <c r="CG117" s="6">
        <f t="shared" si="3"/>
        <v>3740027.3</v>
      </c>
      <c r="CI117" s="6">
        <v>112569</v>
      </c>
      <c r="CJ117" s="6">
        <v>140876</v>
      </c>
      <c r="CK117" s="6">
        <v>90879</v>
      </c>
      <c r="CL117" s="6"/>
      <c r="CM117" s="6"/>
      <c r="CN117" s="6"/>
      <c r="CO117" s="6">
        <v>337707</v>
      </c>
      <c r="CP117" s="6">
        <v>112464</v>
      </c>
      <c r="CQ117" s="6">
        <v>1632251</v>
      </c>
      <c r="CR117" s="6"/>
      <c r="CS117" s="6"/>
      <c r="CT117" s="6"/>
      <c r="CU117" s="6"/>
      <c r="CV117" s="6"/>
      <c r="CW117" s="6"/>
      <c r="CX117" s="6">
        <v>0</v>
      </c>
      <c r="CY117" s="6"/>
      <c r="CZ117" s="6"/>
      <c r="DB117" s="6"/>
      <c r="DC117" s="6"/>
      <c r="DF117" s="6"/>
      <c r="DG117" s="6"/>
      <c r="DH117" s="6"/>
      <c r="DI117" s="6"/>
      <c r="DJ117" s="6"/>
      <c r="DK117" s="6"/>
      <c r="DL117" s="6">
        <v>3139</v>
      </c>
      <c r="DM117" s="6"/>
      <c r="DN117" s="6"/>
      <c r="DO117" s="6"/>
      <c r="DP117" s="6">
        <v>14025</v>
      </c>
      <c r="DU117" s="6">
        <f>VLOOKUP($A117,[3]Totals!$B$2:$K$119,10,FALSE)</f>
        <v>151273.14000000001</v>
      </c>
      <c r="DV117" s="6">
        <f>VLOOKUP($A117,[3]Totals!$B$2:$K$119,9,FALSE)</f>
        <v>199407</v>
      </c>
    </row>
    <row r="118" spans="1:126" x14ac:dyDescent="0.2">
      <c r="A118" s="3">
        <v>335</v>
      </c>
      <c r="B118" s="2" t="s">
        <v>6</v>
      </c>
      <c r="C118" t="s">
        <v>4</v>
      </c>
      <c r="D118">
        <v>5</v>
      </c>
      <c r="E118" s="1">
        <v>321</v>
      </c>
      <c r="F118" s="4">
        <v>0.68799999999999994</v>
      </c>
      <c r="G118">
        <v>221</v>
      </c>
      <c r="H118" s="6">
        <v>195277</v>
      </c>
      <c r="I118" s="6">
        <v>112569</v>
      </c>
      <c r="J118" s="6"/>
      <c r="K118" s="6">
        <v>67876</v>
      </c>
      <c r="L118" s="6">
        <v>5255</v>
      </c>
      <c r="M118" s="6">
        <v>78183</v>
      </c>
      <c r="N118" s="6">
        <v>60194</v>
      </c>
      <c r="O118" s="6">
        <v>101190</v>
      </c>
      <c r="P118" s="6">
        <v>112569</v>
      </c>
      <c r="Q118" s="6">
        <v>225138</v>
      </c>
      <c r="R118" s="6">
        <v>112569</v>
      </c>
      <c r="S118" s="6">
        <v>225138</v>
      </c>
      <c r="T118" s="6">
        <v>187440</v>
      </c>
      <c r="U118" s="6"/>
      <c r="V118" s="6"/>
      <c r="W118" s="6"/>
      <c r="X118" s="6"/>
      <c r="Y118" s="6"/>
      <c r="Z118" s="6"/>
      <c r="AA118" s="6"/>
      <c r="AB118" s="6"/>
      <c r="AC118" s="6"/>
      <c r="AD118" s="6">
        <v>139283</v>
      </c>
      <c r="AE118" s="6">
        <v>112569</v>
      </c>
      <c r="AF118" s="6">
        <v>112569</v>
      </c>
      <c r="AG118" s="6">
        <v>1125690</v>
      </c>
      <c r="AH118" s="6"/>
      <c r="AI118" s="6">
        <v>112464</v>
      </c>
      <c r="AJ118" s="6"/>
      <c r="AK118" s="6"/>
      <c r="AL118" s="6"/>
      <c r="AM118" s="6"/>
      <c r="AN118" s="6"/>
      <c r="AO118" s="6">
        <v>112569</v>
      </c>
      <c r="AP118" s="6"/>
      <c r="AQ118" s="6"/>
      <c r="AR118" s="6"/>
      <c r="AS118" s="6">
        <f>27200-18700</f>
        <v>8500</v>
      </c>
      <c r="AT118" s="6">
        <f>27200-18700</f>
        <v>8500</v>
      </c>
      <c r="AU118" s="6">
        <v>10200</v>
      </c>
      <c r="AV118" s="6"/>
      <c r="AW118" s="6">
        <v>37400</v>
      </c>
      <c r="AX118" s="6"/>
      <c r="AY118" s="6"/>
      <c r="AZ118" s="6">
        <v>145550.91</v>
      </c>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v>559465</v>
      </c>
      <c r="BY118" s="6"/>
      <c r="BZ118" s="6"/>
      <c r="CA118" s="6"/>
      <c r="CB118" s="6"/>
      <c r="CC118" s="6">
        <v>87377</v>
      </c>
      <c r="CD118" s="6"/>
      <c r="CE118" s="6"/>
      <c r="CF118" s="6">
        <v>225138</v>
      </c>
      <c r="CG118" s="6">
        <f t="shared" si="3"/>
        <v>4280672.91</v>
      </c>
      <c r="CI118" s="6">
        <v>112569</v>
      </c>
      <c r="CJ118" s="6">
        <v>46959</v>
      </c>
      <c r="CK118" s="6">
        <v>90879</v>
      </c>
      <c r="CL118" s="6"/>
      <c r="CM118" s="6"/>
      <c r="CN118" s="6"/>
      <c r="CO118" s="6">
        <f>450276-DG118</f>
        <v>337707</v>
      </c>
      <c r="CP118" s="6">
        <v>74976</v>
      </c>
      <c r="CQ118" s="6">
        <v>1542195</v>
      </c>
      <c r="CR118" s="6">
        <v>225138</v>
      </c>
      <c r="CS118" s="6">
        <v>23000</v>
      </c>
      <c r="CT118" s="6"/>
      <c r="CU118" s="6">
        <v>100000</v>
      </c>
      <c r="CV118" s="6"/>
      <c r="CW118" s="6"/>
      <c r="CX118" s="6">
        <v>0</v>
      </c>
      <c r="CY118" s="6"/>
      <c r="CZ118" s="6"/>
      <c r="DB118" s="6"/>
      <c r="DC118" s="6"/>
      <c r="DF118" s="6"/>
      <c r="DG118" s="6">
        <v>112569</v>
      </c>
      <c r="DH118" s="6"/>
      <c r="DI118" s="6"/>
      <c r="DJ118" s="6"/>
      <c r="DK118" s="6"/>
      <c r="DL118" s="6">
        <v>4420</v>
      </c>
      <c r="DM118" s="6"/>
      <c r="DN118" s="6"/>
      <c r="DO118" s="6"/>
      <c r="DP118" s="6">
        <v>24050</v>
      </c>
      <c r="DU118" s="6">
        <f>VLOOKUP($A118,[3]Totals!$B$2:$K$119,10,FALSE)</f>
        <v>184030.85</v>
      </c>
      <c r="DV118" s="6">
        <f>VLOOKUP($A118,[3]Totals!$B$2:$K$119,9,FALSE)</f>
        <v>225138</v>
      </c>
    </row>
    <row r="119" spans="1:126" x14ac:dyDescent="0.2">
      <c r="A119" s="3">
        <v>338</v>
      </c>
      <c r="B119" s="2" t="s">
        <v>5</v>
      </c>
      <c r="C119" t="s">
        <v>4</v>
      </c>
      <c r="D119">
        <v>4</v>
      </c>
      <c r="E119" s="1">
        <v>307</v>
      </c>
      <c r="F119" s="4">
        <v>0.56000000000000005</v>
      </c>
      <c r="G119">
        <v>172</v>
      </c>
      <c r="H119" s="6">
        <v>195277</v>
      </c>
      <c r="I119" s="6"/>
      <c r="J119" s="6"/>
      <c r="K119" s="6">
        <v>67876</v>
      </c>
      <c r="L119" s="6">
        <v>4422</v>
      </c>
      <c r="M119" s="6">
        <v>78183</v>
      </c>
      <c r="N119" s="6">
        <v>60194</v>
      </c>
      <c r="O119" s="6">
        <v>101190</v>
      </c>
      <c r="P119" s="6">
        <v>112569</v>
      </c>
      <c r="Q119" s="6">
        <v>112569</v>
      </c>
      <c r="R119" s="6">
        <v>225138</v>
      </c>
      <c r="S119" s="6">
        <v>112569</v>
      </c>
      <c r="T119" s="6">
        <v>149952</v>
      </c>
      <c r="U119" s="6"/>
      <c r="V119" s="6"/>
      <c r="W119" s="6"/>
      <c r="X119" s="6"/>
      <c r="Y119" s="6"/>
      <c r="Z119" s="6"/>
      <c r="AA119" s="6"/>
      <c r="AB119" s="6"/>
      <c r="AC119" s="6"/>
      <c r="AD119" s="6">
        <v>134749</v>
      </c>
      <c r="AE119" s="6">
        <v>112569</v>
      </c>
      <c r="AF119" s="6">
        <v>225138</v>
      </c>
      <c r="AG119" s="6">
        <v>1238259</v>
      </c>
      <c r="AH119" s="6"/>
      <c r="AI119" s="6">
        <v>374880</v>
      </c>
      <c r="AJ119" s="6"/>
      <c r="AK119" s="6"/>
      <c r="AL119" s="6"/>
      <c r="AM119" s="6"/>
      <c r="AN119" s="6"/>
      <c r="AO119" s="6">
        <v>450276</v>
      </c>
      <c r="AP119" s="6"/>
      <c r="AQ119" s="6"/>
      <c r="AR119" s="6"/>
      <c r="AS119" s="6">
        <f>40800-13600</f>
        <v>27200</v>
      </c>
      <c r="AT119" s="6">
        <f>40800-37400</f>
        <v>3400</v>
      </c>
      <c r="AU119" s="6">
        <v>10200</v>
      </c>
      <c r="AV119" s="6"/>
      <c r="AW119" s="6">
        <v>51000</v>
      </c>
      <c r="AX119" s="6"/>
      <c r="AY119" s="6"/>
      <c r="AZ119" s="6">
        <v>97810.36</v>
      </c>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v>435421</v>
      </c>
      <c r="BY119" s="6"/>
      <c r="BZ119" s="6"/>
      <c r="CA119" s="6"/>
      <c r="CB119" s="6"/>
      <c r="CC119" s="6">
        <v>827811</v>
      </c>
      <c r="CD119" s="6"/>
      <c r="CE119" s="6"/>
      <c r="CF119" s="6">
        <v>0</v>
      </c>
      <c r="CG119" s="6">
        <f t="shared" si="3"/>
        <v>5208652.3599999994</v>
      </c>
      <c r="CI119" s="6">
        <v>112569</v>
      </c>
      <c r="CJ119" s="6">
        <v>125223</v>
      </c>
      <c r="CK119" s="6">
        <v>90879</v>
      </c>
      <c r="CL119" s="6"/>
      <c r="CM119" s="6"/>
      <c r="CN119" s="6"/>
      <c r="CO119" s="6">
        <v>337707</v>
      </c>
      <c r="CP119" s="6">
        <v>74976</v>
      </c>
      <c r="CQ119" s="6">
        <v>1350828</v>
      </c>
      <c r="CR119" s="6"/>
      <c r="CS119" s="6"/>
      <c r="CT119" s="6"/>
      <c r="CU119" s="6"/>
      <c r="CV119" s="6"/>
      <c r="CW119" s="6"/>
      <c r="CX119" s="6">
        <v>0</v>
      </c>
      <c r="CY119" s="6"/>
      <c r="CZ119" s="6"/>
      <c r="DB119" s="6"/>
      <c r="DC119" s="6"/>
      <c r="DF119" s="6"/>
      <c r="DG119" s="6"/>
      <c r="DH119" s="6"/>
      <c r="DI119" s="6"/>
      <c r="DJ119" s="6"/>
      <c r="DK119" s="6"/>
      <c r="DL119" s="6">
        <v>3442</v>
      </c>
      <c r="DM119" s="6"/>
      <c r="DN119" s="6"/>
      <c r="DO119" s="6"/>
      <c r="DP119" s="6">
        <v>6650</v>
      </c>
      <c r="DU119" s="6">
        <f>VLOOKUP($A119,[3]Totals!$B$2:$K$119,10,FALSE)</f>
        <v>143150.71</v>
      </c>
      <c r="DV119" s="6">
        <f>VLOOKUP($A119,[3]Totals!$B$2:$K$119,9,FALSE)</f>
        <v>331661</v>
      </c>
    </row>
    <row r="120" spans="1:126" x14ac:dyDescent="0.2">
      <c r="A120" s="3">
        <v>463</v>
      </c>
      <c r="B120" s="2" t="s">
        <v>3</v>
      </c>
      <c r="C120" t="s">
        <v>1</v>
      </c>
      <c r="D120">
        <v>3</v>
      </c>
      <c r="E120" s="1">
        <v>2010</v>
      </c>
      <c r="F120" s="4">
        <v>0.23200000000000001</v>
      </c>
      <c r="G120">
        <v>466</v>
      </c>
      <c r="H120" s="6">
        <v>195277</v>
      </c>
      <c r="I120" s="6"/>
      <c r="J120" s="6">
        <v>1081608</v>
      </c>
      <c r="K120" s="6">
        <v>67876</v>
      </c>
      <c r="L120" s="6">
        <v>31242</v>
      </c>
      <c r="M120" s="6">
        <v>78183</v>
      </c>
      <c r="N120" s="6">
        <v>60194</v>
      </c>
      <c r="O120" s="6">
        <v>607140</v>
      </c>
      <c r="P120" s="6">
        <v>112569</v>
      </c>
      <c r="Q120" s="6"/>
      <c r="R120" s="6"/>
      <c r="S120" s="6"/>
      <c r="T120" s="6"/>
      <c r="U120" s="6"/>
      <c r="V120" s="6"/>
      <c r="W120" s="6"/>
      <c r="X120" s="6"/>
      <c r="Y120" s="6"/>
      <c r="Z120" s="6"/>
      <c r="AA120" s="6">
        <v>225138</v>
      </c>
      <c r="AB120" s="6"/>
      <c r="AC120" s="6"/>
      <c r="AD120" s="6">
        <v>749148</v>
      </c>
      <c r="AE120" s="6">
        <v>225138</v>
      </c>
      <c r="AF120" s="6">
        <v>450276</v>
      </c>
      <c r="AG120" s="6">
        <v>2814225</v>
      </c>
      <c r="AH120" s="6"/>
      <c r="AI120" s="6">
        <v>299904</v>
      </c>
      <c r="AJ120" s="6"/>
      <c r="AK120" s="6"/>
      <c r="AL120" s="6">
        <v>117087</v>
      </c>
      <c r="AM120" s="6"/>
      <c r="AN120" s="6"/>
      <c r="AO120" s="6">
        <v>787983</v>
      </c>
      <c r="AP120" s="6"/>
      <c r="AQ120" s="6"/>
      <c r="AR120" s="6"/>
      <c r="AS120" s="6"/>
      <c r="AT120" s="6"/>
      <c r="AU120" s="6"/>
      <c r="AV120" s="6">
        <v>85000</v>
      </c>
      <c r="AW120" s="6">
        <v>0</v>
      </c>
      <c r="AX120" s="6"/>
      <c r="AY120" s="6"/>
      <c r="AZ120" s="6">
        <v>0</v>
      </c>
      <c r="BA120" s="6"/>
      <c r="BB120" s="6">
        <v>50250</v>
      </c>
      <c r="BC120" s="6"/>
      <c r="BD120" s="6"/>
      <c r="BE120" s="6"/>
      <c r="BF120" s="6"/>
      <c r="BG120" s="6"/>
      <c r="BH120" s="6"/>
      <c r="BI120" s="6"/>
      <c r="BJ120" s="6"/>
      <c r="BK120" s="6"/>
      <c r="BL120" s="6"/>
      <c r="BM120" s="6"/>
      <c r="BN120" s="6"/>
      <c r="BO120" s="6"/>
      <c r="BP120" s="6"/>
      <c r="BQ120" s="6"/>
      <c r="BR120" s="6"/>
      <c r="BS120" s="6"/>
      <c r="BT120" s="6"/>
      <c r="BU120" s="6">
        <v>144306</v>
      </c>
      <c r="BV120" s="6">
        <v>117087</v>
      </c>
      <c r="BW120" s="6"/>
      <c r="BX120" s="6">
        <v>1310736</v>
      </c>
      <c r="BY120" s="6"/>
      <c r="BZ120" s="6"/>
      <c r="CA120" s="6"/>
      <c r="CB120" s="6"/>
      <c r="CC120" s="6"/>
      <c r="CD120" s="6"/>
      <c r="CE120" s="6"/>
      <c r="CF120" s="6">
        <v>112569</v>
      </c>
      <c r="CG120" s="6">
        <f t="shared" si="3"/>
        <v>9722936</v>
      </c>
      <c r="CI120" s="6">
        <v>112569</v>
      </c>
      <c r="CJ120" s="6">
        <v>1048744</v>
      </c>
      <c r="CK120" s="6">
        <v>90879</v>
      </c>
      <c r="CL120" s="6">
        <v>253195</v>
      </c>
      <c r="CM120" s="6">
        <v>56854</v>
      </c>
      <c r="CN120" s="6">
        <v>69509</v>
      </c>
      <c r="CO120" s="6"/>
      <c r="CP120" s="6"/>
      <c r="CQ120" s="6">
        <f>11031762-DH120</f>
        <v>9427653.75</v>
      </c>
      <c r="CR120" s="6"/>
      <c r="CS120" s="6"/>
      <c r="CT120" s="6"/>
      <c r="CU120" s="6"/>
      <c r="CV120" s="6">
        <v>117087</v>
      </c>
      <c r="CW120" s="6"/>
      <c r="CX120" s="6">
        <v>24884</v>
      </c>
      <c r="CY120" s="6"/>
      <c r="CZ120" s="6"/>
      <c r="DB120" s="6"/>
      <c r="DC120" s="6">
        <v>127248</v>
      </c>
      <c r="DF120" s="6"/>
      <c r="DG120" s="6"/>
      <c r="DH120" s="6">
        <f>'[2]pdf DetailxSch Pos'!AE119*'[2]pdf DetailxSch Pos'!AE$122</f>
        <v>1604108.25</v>
      </c>
      <c r="DI120" s="6"/>
      <c r="DJ120" s="6"/>
      <c r="DK120" s="6"/>
      <c r="DL120" s="6"/>
      <c r="DM120" s="6"/>
      <c r="DN120" s="6">
        <v>117087</v>
      </c>
      <c r="DO120" s="6"/>
      <c r="DP120" s="6">
        <v>38025</v>
      </c>
      <c r="DU120" s="6">
        <f>VLOOKUP($A120,[3]Totals!$B$2:$K$119,10,FALSE)</f>
        <v>210982.97</v>
      </c>
      <c r="DV120" s="6">
        <f>VLOOKUP($A120,[3]Totals!$B$2:$K$119,9,FALSE)</f>
        <v>213621</v>
      </c>
    </row>
    <row r="121" spans="1:126" x14ac:dyDescent="0.2">
      <c r="A121" s="3">
        <v>464</v>
      </c>
      <c r="B121" s="2" t="s">
        <v>2</v>
      </c>
      <c r="C121" t="s">
        <v>1</v>
      </c>
      <c r="D121">
        <v>7</v>
      </c>
      <c r="E121" s="1">
        <v>487</v>
      </c>
      <c r="F121" s="4">
        <v>0.70399999999999996</v>
      </c>
      <c r="G121">
        <v>343</v>
      </c>
      <c r="H121" s="6">
        <v>195277</v>
      </c>
      <c r="I121" s="6"/>
      <c r="J121" s="6">
        <v>254496</v>
      </c>
      <c r="K121" s="6">
        <v>67876</v>
      </c>
      <c r="L121" s="6">
        <v>7624</v>
      </c>
      <c r="M121" s="6">
        <v>78183</v>
      </c>
      <c r="N121" s="6">
        <v>60194</v>
      </c>
      <c r="O121" s="6">
        <v>202380</v>
      </c>
      <c r="P121" s="6">
        <v>112569</v>
      </c>
      <c r="Q121" s="6"/>
      <c r="R121" s="6"/>
      <c r="S121" s="6"/>
      <c r="T121" s="6"/>
      <c r="U121" s="6"/>
      <c r="V121" s="6"/>
      <c r="W121" s="6"/>
      <c r="X121" s="6"/>
      <c r="Y121" s="6"/>
      <c r="Z121" s="6"/>
      <c r="AA121" s="6">
        <v>225138</v>
      </c>
      <c r="AB121" s="6"/>
      <c r="AC121" s="6"/>
      <c r="AD121" s="6">
        <v>225098</v>
      </c>
      <c r="AE121" s="6">
        <v>112569</v>
      </c>
      <c r="AF121" s="6">
        <v>337707</v>
      </c>
      <c r="AG121" s="6">
        <v>1575966</v>
      </c>
      <c r="AH121" s="6"/>
      <c r="AI121" s="6">
        <v>224928</v>
      </c>
      <c r="AJ121" s="6"/>
      <c r="AK121" s="6">
        <v>55015</v>
      </c>
      <c r="AL121" s="6"/>
      <c r="AM121" s="6"/>
      <c r="AN121" s="6"/>
      <c r="AO121" s="6"/>
      <c r="AP121" s="6">
        <v>20262</v>
      </c>
      <c r="AQ121" s="6"/>
      <c r="AR121" s="6"/>
      <c r="AS121" s="6"/>
      <c r="AT121" s="6"/>
      <c r="AU121" s="6"/>
      <c r="AV121" s="6">
        <v>60000</v>
      </c>
      <c r="AW121" s="6">
        <v>0</v>
      </c>
      <c r="AX121" s="6"/>
      <c r="AY121" s="6"/>
      <c r="AZ121" s="6">
        <v>438999.85</v>
      </c>
      <c r="BA121" s="6"/>
      <c r="BB121" s="6"/>
      <c r="BC121" s="6"/>
      <c r="BD121" s="6">
        <v>156529</v>
      </c>
      <c r="BE121" s="6">
        <v>26216</v>
      </c>
      <c r="BF121" s="6">
        <v>9000</v>
      </c>
      <c r="BG121" s="6">
        <v>30000</v>
      </c>
      <c r="BH121" s="6"/>
      <c r="BI121" s="6"/>
      <c r="BJ121" s="6"/>
      <c r="BK121" s="6"/>
      <c r="BL121" s="6"/>
      <c r="BM121" s="6"/>
      <c r="BN121" s="6">
        <v>112569</v>
      </c>
      <c r="BO121" s="6"/>
      <c r="BP121" s="6">
        <v>113946</v>
      </c>
      <c r="BQ121" s="6">
        <v>5000</v>
      </c>
      <c r="BR121" s="6"/>
      <c r="BS121" s="6"/>
      <c r="BT121" s="6"/>
      <c r="BU121" s="6">
        <v>432918</v>
      </c>
      <c r="BV121" s="6">
        <v>234174</v>
      </c>
      <c r="BW121" s="6"/>
      <c r="BX121" s="6">
        <v>962703</v>
      </c>
      <c r="BY121" s="6"/>
      <c r="BZ121" s="6"/>
      <c r="CA121" s="6"/>
      <c r="CB121" s="6"/>
      <c r="CC121" s="6">
        <v>961895</v>
      </c>
      <c r="CD121" s="6"/>
      <c r="CE121" s="6"/>
      <c r="CF121" s="6">
        <v>281423</v>
      </c>
      <c r="CG121" s="6">
        <f t="shared" si="3"/>
        <v>7580654.8499999996</v>
      </c>
      <c r="CI121" s="6">
        <v>112569</v>
      </c>
      <c r="CJ121" s="6">
        <v>250446</v>
      </c>
      <c r="CK121" s="6">
        <v>90879</v>
      </c>
      <c r="CL121" s="6">
        <v>60767</v>
      </c>
      <c r="CM121" s="6">
        <v>56854</v>
      </c>
      <c r="CN121" s="6">
        <v>69509</v>
      </c>
      <c r="CO121" s="6"/>
      <c r="CP121" s="6"/>
      <c r="CQ121" s="6">
        <f>3245364-DH121</f>
        <v>2284212.3550000004</v>
      </c>
      <c r="CR121" s="6"/>
      <c r="CS121" s="6"/>
      <c r="CT121" s="6"/>
      <c r="CU121" s="6"/>
      <c r="CV121" s="6">
        <v>117087</v>
      </c>
      <c r="CW121" s="6"/>
      <c r="CX121" s="6">
        <v>74648.709999999992</v>
      </c>
      <c r="CY121" s="6">
        <v>75000</v>
      </c>
      <c r="CZ121" s="6"/>
      <c r="DB121" s="6"/>
      <c r="DC121" s="6"/>
      <c r="DF121" s="6"/>
      <c r="DG121" s="6"/>
      <c r="DH121" s="6">
        <f>'[2]pdf DetailxSch Pos'!AE120*'[2]pdf DetailxSch Pos'!AE$122</f>
        <v>961151.64499999967</v>
      </c>
      <c r="DI121" s="6"/>
      <c r="DJ121" s="6"/>
      <c r="DK121" s="6"/>
      <c r="DL121" s="6">
        <v>6852</v>
      </c>
      <c r="DM121" s="6"/>
      <c r="DN121" s="6">
        <v>117087</v>
      </c>
      <c r="DO121" s="6"/>
      <c r="DP121" s="6">
        <v>20800</v>
      </c>
      <c r="DU121" s="6">
        <f>VLOOKUP($A121,[3]Totals!$B$2:$K$119,10,FALSE)</f>
        <v>228622.26</v>
      </c>
      <c r="DV121" s="6">
        <f>VLOOKUP($A121,[3]Totals!$B$2:$K$119,9,FALSE)</f>
        <v>56285</v>
      </c>
    </row>
    <row r="122" spans="1:126" x14ac:dyDescent="0.2">
      <c r="B122" s="2" t="s">
        <v>0</v>
      </c>
      <c r="E122" s="1">
        <f>SUM(E6:E121)</f>
        <v>51410</v>
      </c>
      <c r="F122" s="4">
        <f>G122/E122</f>
        <v>0.44936782727095897</v>
      </c>
      <c r="G122" s="1">
        <f t="shared" ref="G122:T122" si="6">SUM(G6:G121)</f>
        <v>23102</v>
      </c>
      <c r="H122" s="6">
        <f t="shared" si="6"/>
        <v>22261579</v>
      </c>
      <c r="I122" s="6">
        <f t="shared" si="6"/>
        <v>3253245</v>
      </c>
      <c r="J122" s="6">
        <f t="shared" si="6"/>
        <v>6935016</v>
      </c>
      <c r="K122" s="6">
        <f t="shared" si="6"/>
        <v>7873616</v>
      </c>
      <c r="L122" s="6">
        <f t="shared" si="6"/>
        <v>818315</v>
      </c>
      <c r="M122" s="6">
        <f t="shared" si="6"/>
        <v>9147411</v>
      </c>
      <c r="N122" s="6">
        <f t="shared" si="6"/>
        <v>6982504</v>
      </c>
      <c r="O122" s="6">
        <f t="shared" si="6"/>
        <v>16898730</v>
      </c>
      <c r="P122" s="6">
        <f t="shared" si="6"/>
        <v>13170574.960000005</v>
      </c>
      <c r="Q122" s="6">
        <f t="shared" si="6"/>
        <v>15196815</v>
      </c>
      <c r="R122" s="6">
        <f t="shared" si="6"/>
        <v>9005520</v>
      </c>
      <c r="S122" s="6">
        <f t="shared" si="6"/>
        <v>18461316</v>
      </c>
      <c r="T122" s="6">
        <f t="shared" si="6"/>
        <v>14170464</v>
      </c>
      <c r="U122" s="6"/>
      <c r="V122" s="6"/>
      <c r="W122" s="6"/>
      <c r="X122" s="6"/>
      <c r="Y122" s="6"/>
      <c r="Z122" s="6"/>
      <c r="AA122" s="6">
        <f>SUM(AA6:AA121)</f>
        <v>2251380</v>
      </c>
      <c r="AB122" s="6">
        <f>SUM(AB6:AB121)</f>
        <v>225138</v>
      </c>
      <c r="AC122" s="6"/>
      <c r="AD122" s="6">
        <f>SUM(AD6:AD121)</f>
        <v>19991325</v>
      </c>
      <c r="AE122" s="6">
        <f>SUM(AE6:AE121)</f>
        <v>13958556</v>
      </c>
      <c r="AF122" s="6">
        <f>SUM(AF6:AF121)</f>
        <v>23752059</v>
      </c>
      <c r="AG122" s="6">
        <f>SUM(AG6:AG121)</f>
        <v>103450911</v>
      </c>
      <c r="AH122" s="6"/>
      <c r="AI122" s="6">
        <f>SUM(AI6:AI121)</f>
        <v>17244480</v>
      </c>
      <c r="AJ122" s="6"/>
      <c r="AK122" s="6">
        <f>SUM(AK6:AK121)</f>
        <v>1980540</v>
      </c>
      <c r="AL122" s="6">
        <f>SUM(AL6:AL121)</f>
        <v>936696</v>
      </c>
      <c r="AM122" s="6"/>
      <c r="AN122" s="6"/>
      <c r="AO122" s="6">
        <f>SUM(AO6:AO121)</f>
        <v>42100806</v>
      </c>
      <c r="AP122" s="6">
        <f>SUM(AP6:AP121)</f>
        <v>834129</v>
      </c>
      <c r="AQ122" s="6">
        <f>SUM(AQ6:AQ121)</f>
        <v>262416</v>
      </c>
      <c r="AR122" s="6"/>
      <c r="AS122" s="6">
        <f>SUM(AS6:AS121)</f>
        <v>1127000</v>
      </c>
      <c r="AT122" s="6">
        <f>SUM(AT6:AT121)</f>
        <v>896100</v>
      </c>
      <c r="AU122" s="6">
        <f>SUM(AU6:AU121)</f>
        <v>510000</v>
      </c>
      <c r="AV122" s="6">
        <f>SUM(AV6:AV121)</f>
        <v>1030000</v>
      </c>
      <c r="AW122" s="6">
        <f>SUM(AW6:AW121)</f>
        <v>2628200</v>
      </c>
      <c r="AX122" s="6"/>
      <c r="AY122" s="6"/>
      <c r="AZ122" s="6">
        <f>SUM(AZ6:AZ121)</f>
        <v>17617243.829999994</v>
      </c>
      <c r="BA122" s="6"/>
      <c r="BB122" s="6">
        <f t="shared" ref="BB122:BJ122" si="7">SUM(BB6:BB121)</f>
        <v>388925</v>
      </c>
      <c r="BC122" s="6">
        <f t="shared" si="7"/>
        <v>787983</v>
      </c>
      <c r="BD122" s="6">
        <f t="shared" si="7"/>
        <v>1408761</v>
      </c>
      <c r="BE122" s="6">
        <f t="shared" si="7"/>
        <v>159214</v>
      </c>
      <c r="BF122" s="6">
        <f t="shared" si="7"/>
        <v>157730</v>
      </c>
      <c r="BG122" s="6">
        <f t="shared" si="7"/>
        <v>320000</v>
      </c>
      <c r="BH122" s="6">
        <f t="shared" si="7"/>
        <v>819609</v>
      </c>
      <c r="BI122" s="6">
        <f t="shared" si="7"/>
        <v>167908</v>
      </c>
      <c r="BJ122" s="6">
        <f t="shared" si="7"/>
        <v>351261</v>
      </c>
      <c r="BK122" s="6"/>
      <c r="BL122" s="6">
        <f>SUM(BL6:BL121)</f>
        <v>144306</v>
      </c>
      <c r="BM122" s="6"/>
      <c r="BN122" s="6">
        <f t="shared" ref="BN122:BS122" si="8">SUM(BN6:BN121)</f>
        <v>675414</v>
      </c>
      <c r="BO122" s="6">
        <f t="shared" si="8"/>
        <v>69396</v>
      </c>
      <c r="BP122" s="6">
        <f t="shared" si="8"/>
        <v>640313</v>
      </c>
      <c r="BQ122" s="6">
        <f t="shared" si="8"/>
        <v>30000</v>
      </c>
      <c r="BR122" s="6">
        <f t="shared" si="8"/>
        <v>221744</v>
      </c>
      <c r="BS122" s="6">
        <f t="shared" si="8"/>
        <v>8816740</v>
      </c>
      <c r="BT122" s="6"/>
      <c r="BU122" s="6">
        <f>SUM(BU6:BU121)</f>
        <v>2741814</v>
      </c>
      <c r="BV122" s="6">
        <f>SUM(BV6:BV121)</f>
        <v>819609</v>
      </c>
      <c r="BW122" s="6">
        <f>SUM(BW6:BW121)</f>
        <v>125502</v>
      </c>
      <c r="BX122" s="6">
        <f>SUM(BX6:BX121)</f>
        <v>60242262.339999996</v>
      </c>
      <c r="BY122" s="6"/>
      <c r="BZ122" s="6"/>
      <c r="CA122" s="6"/>
      <c r="CB122" s="6"/>
      <c r="CC122" s="6">
        <f>SUM(CC6:CC121)</f>
        <v>12317769</v>
      </c>
      <c r="CD122" s="6">
        <f>SUM(CD6:CD121)</f>
        <v>752872</v>
      </c>
      <c r="CE122" s="6">
        <f>SUM(CE6:CE121)</f>
        <v>3868461</v>
      </c>
      <c r="CF122" s="6">
        <f>SUM(CF6:CF121)</f>
        <v>8506680</v>
      </c>
      <c r="CG122" s="6">
        <f>SUM(CG6:CG121)</f>
        <v>499506359.13000029</v>
      </c>
      <c r="CI122" s="6">
        <f t="shared" ref="CI122:CY122" si="9">SUM(CI6:CI121)</f>
        <v>13170573</v>
      </c>
      <c r="CJ122" s="6">
        <f t="shared" si="9"/>
        <v>21031237</v>
      </c>
      <c r="CK122" s="6">
        <f t="shared" si="9"/>
        <v>9360550</v>
      </c>
      <c r="CL122" s="6">
        <f t="shared" si="9"/>
        <v>4344831</v>
      </c>
      <c r="CM122" s="6">
        <f t="shared" si="9"/>
        <v>1023372</v>
      </c>
      <c r="CN122" s="6">
        <f t="shared" si="9"/>
        <v>1668216</v>
      </c>
      <c r="CO122" s="6">
        <f t="shared" si="9"/>
        <v>33601862</v>
      </c>
      <c r="CP122" s="6">
        <f t="shared" si="9"/>
        <v>8059920</v>
      </c>
      <c r="CQ122" s="6">
        <f t="shared" si="9"/>
        <v>239344021.05499998</v>
      </c>
      <c r="CR122" s="6">
        <f t="shared" si="9"/>
        <v>6866709</v>
      </c>
      <c r="CS122" s="6">
        <f t="shared" si="9"/>
        <v>575000</v>
      </c>
      <c r="CT122" s="6">
        <f t="shared" si="9"/>
        <v>30000</v>
      </c>
      <c r="CU122" s="6">
        <f t="shared" si="9"/>
        <v>2500000</v>
      </c>
      <c r="CV122" s="6">
        <f t="shared" si="9"/>
        <v>1873392</v>
      </c>
      <c r="CW122" s="6">
        <f t="shared" si="9"/>
        <v>787983</v>
      </c>
      <c r="CX122" s="6">
        <f t="shared" si="9"/>
        <v>290395.91000000003</v>
      </c>
      <c r="CY122" s="6">
        <f t="shared" si="9"/>
        <v>1050000</v>
      </c>
      <c r="CZ122" s="6"/>
      <c r="DB122" s="6">
        <f>SUM(DB6:DB121)</f>
        <v>4840467</v>
      </c>
      <c r="DC122" s="6">
        <f>SUM(DC6:DC121)</f>
        <v>1781472</v>
      </c>
      <c r="DF122" s="6">
        <f t="shared" ref="DF122:DP122" si="10">SUM(DF6:DF121)</f>
        <v>139018</v>
      </c>
      <c r="DG122" s="6">
        <f t="shared" si="10"/>
        <v>2307664</v>
      </c>
      <c r="DH122" s="6">
        <f t="shared" si="10"/>
        <v>11321251.945</v>
      </c>
      <c r="DI122" s="6">
        <f t="shared" si="10"/>
        <v>1408761</v>
      </c>
      <c r="DJ122" s="6">
        <f t="shared" si="10"/>
        <v>337707</v>
      </c>
      <c r="DK122" s="6">
        <f t="shared" si="10"/>
        <v>112569</v>
      </c>
      <c r="DL122" s="6">
        <f t="shared" si="10"/>
        <v>558156</v>
      </c>
      <c r="DM122" s="6">
        <f t="shared" si="10"/>
        <v>13200</v>
      </c>
      <c r="DN122" s="6">
        <f t="shared" si="10"/>
        <v>1756305</v>
      </c>
      <c r="DO122" s="6">
        <f t="shared" si="10"/>
        <v>450000</v>
      </c>
      <c r="DP122" s="6">
        <f t="shared" si="10"/>
        <v>2480359</v>
      </c>
      <c r="DU122" s="6">
        <f>SUM(DU6:DU121)</f>
        <v>18622971.65000001</v>
      </c>
      <c r="DV122" s="6">
        <f>SUM(DV6:DV121)</f>
        <v>20760864.300000001</v>
      </c>
    </row>
    <row r="123" spans="1:126" x14ac:dyDescent="0.2">
      <c r="F123" s="4"/>
      <c r="G123" s="1"/>
      <c r="H123" s="6">
        <v>195277</v>
      </c>
      <c r="I123" s="6">
        <v>112569</v>
      </c>
      <c r="J123" s="6">
        <v>127248</v>
      </c>
      <c r="K123" s="6">
        <v>67876</v>
      </c>
      <c r="L123" s="6"/>
      <c r="M123" s="6">
        <v>78183</v>
      </c>
      <c r="N123" s="6">
        <v>60194</v>
      </c>
      <c r="O123" s="6">
        <v>50595</v>
      </c>
      <c r="P123" s="6">
        <v>112569</v>
      </c>
      <c r="Q123" s="6">
        <v>112569</v>
      </c>
      <c r="R123" s="6">
        <v>112569</v>
      </c>
      <c r="S123" s="6">
        <v>112569</v>
      </c>
      <c r="T123" s="6">
        <v>37488</v>
      </c>
      <c r="U123" s="6"/>
      <c r="V123" s="6"/>
      <c r="W123" s="6"/>
      <c r="X123" s="6"/>
      <c r="Y123" s="6">
        <v>112569</v>
      </c>
      <c r="Z123" s="6">
        <v>112569</v>
      </c>
      <c r="AA123" s="6">
        <v>112569</v>
      </c>
      <c r="AB123" s="6">
        <v>112569</v>
      </c>
      <c r="AC123" s="6"/>
      <c r="AD123" s="6"/>
      <c r="AE123" s="6">
        <v>112569</v>
      </c>
      <c r="AF123" s="6">
        <v>112569</v>
      </c>
      <c r="AG123" s="6">
        <v>112569</v>
      </c>
      <c r="AH123" s="6">
        <v>112569</v>
      </c>
      <c r="AI123" s="6">
        <v>37488</v>
      </c>
      <c r="AJ123" s="6"/>
      <c r="AK123" s="6">
        <v>55015</v>
      </c>
      <c r="AL123" s="6">
        <v>117087</v>
      </c>
      <c r="AM123" s="6"/>
      <c r="AN123" s="6"/>
      <c r="AO123" s="6">
        <v>112569</v>
      </c>
      <c r="AP123" s="6">
        <v>112569</v>
      </c>
      <c r="AQ123" s="6">
        <v>37488</v>
      </c>
      <c r="AR123" s="6"/>
      <c r="AS123" s="6"/>
      <c r="AT123" s="6"/>
      <c r="AU123" s="6"/>
      <c r="AV123" s="6"/>
      <c r="AW123" s="6"/>
      <c r="AX123" s="6"/>
      <c r="AY123" s="6"/>
      <c r="AZ123" s="6"/>
      <c r="BA123" s="6"/>
      <c r="BB123" s="6"/>
      <c r="BC123" s="6">
        <v>112569</v>
      </c>
      <c r="BD123" s="6">
        <v>156529</v>
      </c>
      <c r="BE123" s="6"/>
      <c r="BF123" s="6"/>
      <c r="BG123" s="6"/>
      <c r="BH123" s="6">
        <v>117087</v>
      </c>
      <c r="BI123" s="6"/>
      <c r="BJ123" s="6">
        <v>117087</v>
      </c>
      <c r="BK123" s="6"/>
      <c r="BL123" s="6">
        <f>SUM(BL7:BL122)</f>
        <v>288612</v>
      </c>
      <c r="BM123" s="6"/>
      <c r="BN123" s="6">
        <v>112569</v>
      </c>
      <c r="BO123" s="6">
        <v>69396</v>
      </c>
      <c r="BP123" s="6"/>
      <c r="BQ123" s="6"/>
      <c r="BR123" s="6"/>
      <c r="BS123" s="6"/>
      <c r="BT123" s="6"/>
      <c r="BU123" s="6">
        <f>SUM(BU7:BU122)</f>
        <v>5483628</v>
      </c>
      <c r="BV123" s="6">
        <v>117087</v>
      </c>
      <c r="BW123" s="6">
        <v>125502</v>
      </c>
      <c r="BX123" s="6"/>
      <c r="BY123" s="6"/>
      <c r="BZ123" s="6"/>
      <c r="CA123" s="6"/>
      <c r="CB123" s="6"/>
      <c r="CC123" s="6"/>
      <c r="CD123" s="6"/>
      <c r="CE123" s="6"/>
      <c r="CF123" s="6"/>
      <c r="CI123" s="6">
        <v>112569</v>
      </c>
      <c r="CJ123" s="6">
        <v>156529</v>
      </c>
      <c r="CK123" s="6">
        <v>90879</v>
      </c>
      <c r="CL123" s="6">
        <v>50639</v>
      </c>
      <c r="CM123" s="6">
        <v>56854</v>
      </c>
      <c r="CN123" s="6">
        <v>69509</v>
      </c>
      <c r="CO123" s="6">
        <v>112569</v>
      </c>
      <c r="CP123" s="6">
        <v>37488</v>
      </c>
      <c r="CQ123" s="6">
        <v>112569</v>
      </c>
      <c r="CR123" s="6">
        <v>112569</v>
      </c>
      <c r="CS123" s="6"/>
      <c r="CT123" s="6"/>
      <c r="CU123" s="6"/>
      <c r="CV123" s="6">
        <v>117087</v>
      </c>
      <c r="CW123" s="6">
        <v>112569</v>
      </c>
      <c r="CX123" s="6"/>
      <c r="CY123" s="6"/>
      <c r="CZ123" s="6"/>
      <c r="DB123" s="6">
        <v>112569</v>
      </c>
      <c r="DC123" s="6">
        <v>127248</v>
      </c>
      <c r="DF123" s="6">
        <v>69509</v>
      </c>
      <c r="DG123" s="6">
        <v>112569</v>
      </c>
      <c r="DH123" s="6">
        <v>112569</v>
      </c>
      <c r="DI123" s="6">
        <v>156529</v>
      </c>
      <c r="DJ123" s="6">
        <v>112569</v>
      </c>
      <c r="DK123" s="6">
        <v>112569</v>
      </c>
      <c r="DL123" s="6"/>
      <c r="DM123" s="6"/>
      <c r="DN123" s="6">
        <v>117087</v>
      </c>
      <c r="DO123" s="6"/>
      <c r="DP123" s="6"/>
      <c r="DU123" s="6"/>
      <c r="DV123" s="6"/>
    </row>
    <row r="124" spans="1:126" x14ac:dyDescent="0.2">
      <c r="F124" s="4"/>
      <c r="G124" s="1"/>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I124" s="6"/>
      <c r="CJ124" s="6"/>
      <c r="CK124" s="6"/>
      <c r="CL124" s="6"/>
      <c r="CM124" s="6"/>
      <c r="CN124" s="6"/>
      <c r="CO124" s="6"/>
      <c r="CP124" s="6"/>
      <c r="CQ124" s="6"/>
      <c r="CR124" s="6"/>
      <c r="CS124" s="6"/>
      <c r="CT124" s="6"/>
      <c r="CU124" s="6"/>
      <c r="CV124" s="6"/>
      <c r="CW124" s="6"/>
      <c r="CX124" s="6"/>
      <c r="CY124" s="6"/>
      <c r="CZ124" s="6"/>
      <c r="DB124" s="6"/>
      <c r="DC124" s="6"/>
      <c r="DF124" s="6"/>
      <c r="DG124" s="6"/>
      <c r="DH124" s="6"/>
      <c r="DI124" s="6"/>
      <c r="DJ124" s="6"/>
      <c r="DK124" s="6"/>
      <c r="DL124" s="6"/>
      <c r="DM124" s="6"/>
      <c r="DN124" s="6"/>
      <c r="DO124" s="6"/>
      <c r="DP124" s="6"/>
      <c r="DU124" s="6"/>
      <c r="DV124" s="6">
        <f>DU122+DV122</f>
        <v>39383835.95000001</v>
      </c>
    </row>
    <row r="125" spans="1:126" x14ac:dyDescent="0.2">
      <c r="F125" s="4"/>
      <c r="G125" s="1"/>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4" t="e">
        <f>#REF!/#REF!</f>
        <v>#REF!</v>
      </c>
      <c r="BY125" s="4"/>
      <c r="BZ125" s="6"/>
      <c r="CA125" s="6"/>
      <c r="CB125" s="6"/>
      <c r="CC125" s="6"/>
      <c r="CD125" s="6"/>
      <c r="CE125" s="6"/>
      <c r="CF125" s="6"/>
      <c r="CI125" s="6"/>
      <c r="CJ125" s="6"/>
      <c r="CK125" s="6"/>
      <c r="CL125" s="6"/>
      <c r="CM125" s="6"/>
      <c r="CN125" s="6"/>
      <c r="CO125" s="6"/>
      <c r="CP125" s="6"/>
      <c r="CQ125" s="6"/>
      <c r="CR125" s="6"/>
      <c r="CS125" s="6"/>
      <c r="CT125" s="6"/>
      <c r="CU125" s="6"/>
      <c r="CV125" s="6"/>
      <c r="CW125" s="6"/>
      <c r="CX125" s="6"/>
      <c r="CY125" s="6"/>
      <c r="CZ125" s="6"/>
      <c r="DB125" s="6"/>
      <c r="DC125" s="6"/>
      <c r="DF125" s="6"/>
      <c r="DG125" s="6"/>
      <c r="DH125" s="6"/>
      <c r="DI125" s="6"/>
      <c r="DJ125" s="6"/>
      <c r="DK125" s="6"/>
      <c r="DL125" s="6"/>
      <c r="DM125" s="6"/>
      <c r="DN125" s="6"/>
      <c r="DO125" s="6"/>
      <c r="DP125" s="6"/>
      <c r="DU125" s="6"/>
      <c r="DV125" s="6"/>
    </row>
    <row r="126" spans="1:126" x14ac:dyDescent="0.2">
      <c r="F126" s="4"/>
      <c r="G126" s="1"/>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f>SUM(AS122:AU122)</f>
        <v>2533100</v>
      </c>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4" t="e">
        <f>#REF!/#REF!</f>
        <v>#REF!</v>
      </c>
      <c r="BY126" s="4"/>
      <c r="BZ126" s="6"/>
      <c r="CA126" s="6"/>
      <c r="CB126" s="6"/>
      <c r="CC126" s="6"/>
      <c r="CD126" s="6"/>
      <c r="CE126" s="6"/>
      <c r="CF126" s="6"/>
      <c r="CI126" s="6"/>
      <c r="CJ126" s="6"/>
      <c r="CK126" s="6"/>
      <c r="CL126" s="6"/>
      <c r="CM126" s="6"/>
      <c r="CN126" s="6"/>
      <c r="CO126" s="6"/>
      <c r="CP126" s="6"/>
      <c r="CQ126" s="6"/>
      <c r="CR126" s="6"/>
      <c r="CS126" s="6"/>
      <c r="CT126" s="6"/>
      <c r="CU126" s="6"/>
      <c r="CV126" s="6"/>
      <c r="CW126" s="6"/>
      <c r="CX126" s="6"/>
      <c r="CY126" s="6"/>
      <c r="CZ126" s="6"/>
      <c r="DB126" s="6"/>
      <c r="DC126" s="6"/>
      <c r="DF126" s="6"/>
      <c r="DG126" s="6"/>
      <c r="DH126" s="6"/>
      <c r="DI126" s="6"/>
      <c r="DJ126" s="6"/>
      <c r="DK126" s="6"/>
      <c r="DL126" s="6"/>
      <c r="DM126" s="6"/>
      <c r="DN126" s="6"/>
      <c r="DO126" s="6"/>
      <c r="DP126" s="6"/>
      <c r="DU126" s="6"/>
      <c r="DV126" s="6"/>
    </row>
    <row r="127" spans="1:126" x14ac:dyDescent="0.2">
      <c r="F127" s="4"/>
      <c r="G127" s="1"/>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I127" s="6"/>
      <c r="CJ127" s="6"/>
      <c r="CK127" s="6"/>
      <c r="CL127" s="6"/>
      <c r="CM127" s="6"/>
      <c r="CN127" s="6"/>
      <c r="CO127" s="6"/>
      <c r="CP127" s="6"/>
      <c r="CQ127" s="6"/>
      <c r="CR127" s="6"/>
      <c r="CS127" s="6"/>
      <c r="CT127" s="6"/>
      <c r="CU127" s="6"/>
      <c r="CV127" s="6"/>
      <c r="CW127" s="6"/>
      <c r="CX127" s="6"/>
      <c r="CY127" s="6"/>
      <c r="CZ127" s="6"/>
      <c r="DB127" s="6"/>
      <c r="DC127" s="6"/>
      <c r="DF127" s="6"/>
      <c r="DG127" s="6"/>
      <c r="DH127" s="6"/>
      <c r="DI127" s="6"/>
      <c r="DJ127" s="6"/>
      <c r="DK127" s="6"/>
      <c r="DL127" s="6"/>
      <c r="DM127" s="6"/>
      <c r="DN127" s="6"/>
      <c r="DO127" s="6"/>
      <c r="DP127" s="6"/>
      <c r="DU127" s="6"/>
      <c r="DV127" s="6"/>
    </row>
    <row r="128" spans="1:126" x14ac:dyDescent="0.2">
      <c r="BX128" s="6"/>
      <c r="BY128" s="6"/>
      <c r="CF128" s="6"/>
    </row>
    <row r="129" spans="52:126" x14ac:dyDescent="0.2">
      <c r="AZ129" s="5"/>
      <c r="BA129" s="5"/>
      <c r="BS129" s="5"/>
      <c r="BX129" s="4"/>
      <c r="BY129" s="4"/>
      <c r="BZ129" s="5"/>
      <c r="CA129" s="5"/>
      <c r="CB129" s="5"/>
      <c r="CC129" s="5"/>
      <c r="CD129" s="5"/>
      <c r="CE129" s="5"/>
      <c r="CF129" s="4"/>
      <c r="CS129" s="5"/>
      <c r="CT129" s="5"/>
      <c r="DU129" s="5"/>
      <c r="DV129" s="5"/>
    </row>
  </sheetData>
  <autoFilter ref="A3:CB126" xr:uid="{68F45D66-9B57-4323-A5D6-CEF5184804A8}"/>
  <pageMargins left="0.7" right="0.7" top="0.75" bottom="0.75" header="0.3" footer="0.3"/>
  <pageSetup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F4A12-20BB-4902-8EFA-F251A5B1B96F}">
  <dimension ref="A1:Z118"/>
  <sheetViews>
    <sheetView workbookViewId="0">
      <pane xSplit="3" ySplit="1" topLeftCell="D2" activePane="bottomRight" state="frozen"/>
      <selection pane="topRight" activeCell="D1" sqref="D1"/>
      <selection pane="bottomLeft" activeCell="A2" sqref="A2"/>
      <selection pane="bottomRight" activeCell="Z118" sqref="Z118"/>
    </sheetView>
  </sheetViews>
  <sheetFormatPr defaultRowHeight="12.75" x14ac:dyDescent="0.2"/>
  <cols>
    <col min="1" max="1" width="7.33203125" style="2" customWidth="1"/>
    <col min="2" max="2" width="36.1640625" style="25" customWidth="1"/>
    <col min="3" max="3" width="7.83203125" style="25" customWidth="1"/>
    <col min="7" max="7" width="6.6640625" hidden="1" customWidth="1"/>
    <col min="8" max="8" width="7.1640625" hidden="1" customWidth="1"/>
    <col min="9" max="9" width="9" hidden="1" customWidth="1"/>
    <col min="10" max="10" width="10.5" style="1" hidden="1" customWidth="1"/>
    <col min="11" max="11" width="10.5" style="53" hidden="1" customWidth="1"/>
    <col min="12" max="13" width="10.5" style="53" customWidth="1"/>
    <col min="14" max="14" width="10.6640625" customWidth="1"/>
    <col min="17" max="17" width="9.33203125" style="5"/>
  </cols>
  <sheetData>
    <row r="1" spans="1:26" s="11" customFormat="1" ht="38.25" x14ac:dyDescent="0.2">
      <c r="A1" s="24" t="s">
        <v>237</v>
      </c>
      <c r="B1" s="55" t="s">
        <v>236</v>
      </c>
      <c r="C1" s="55" t="s">
        <v>235</v>
      </c>
      <c r="D1" s="17" t="s">
        <v>335</v>
      </c>
      <c r="E1" s="17" t="s">
        <v>336</v>
      </c>
      <c r="F1" s="17" t="s">
        <v>339</v>
      </c>
      <c r="G1" s="17" t="s">
        <v>340</v>
      </c>
      <c r="H1" s="17" t="s">
        <v>270</v>
      </c>
      <c r="I1" s="17" t="s">
        <v>341</v>
      </c>
      <c r="J1" s="23" t="s">
        <v>342</v>
      </c>
      <c r="K1" s="56" t="s">
        <v>343</v>
      </c>
      <c r="L1" s="57" t="s">
        <v>346</v>
      </c>
      <c r="M1" s="57" t="s">
        <v>347</v>
      </c>
      <c r="N1" s="17" t="s">
        <v>345</v>
      </c>
      <c r="O1" s="17" t="s">
        <v>337</v>
      </c>
      <c r="P1" s="17" t="s">
        <v>338</v>
      </c>
      <c r="Q1" s="17" t="s">
        <v>351</v>
      </c>
      <c r="R1" s="17" t="s">
        <v>348</v>
      </c>
      <c r="S1" s="11" t="s">
        <v>349</v>
      </c>
      <c r="T1" s="11" t="s">
        <v>350</v>
      </c>
      <c r="U1" s="11" t="s">
        <v>358</v>
      </c>
      <c r="V1" s="17" t="s">
        <v>359</v>
      </c>
      <c r="W1" s="17" t="s">
        <v>362</v>
      </c>
      <c r="X1" s="11" t="s">
        <v>363</v>
      </c>
      <c r="Y1" s="11" t="s">
        <v>364</v>
      </c>
      <c r="Z1" s="11" t="s">
        <v>365</v>
      </c>
    </row>
    <row r="2" spans="1:26" x14ac:dyDescent="0.2">
      <c r="A2" s="2">
        <v>202</v>
      </c>
      <c r="B2" s="25" t="s">
        <v>124</v>
      </c>
      <c r="C2" s="51" t="s">
        <v>7</v>
      </c>
      <c r="D2" s="53">
        <v>10</v>
      </c>
      <c r="E2" s="53">
        <v>10</v>
      </c>
      <c r="F2" s="53">
        <f>E2-D2</f>
        <v>0</v>
      </c>
      <c r="G2" s="53"/>
      <c r="H2" s="53"/>
      <c r="I2" s="53"/>
      <c r="J2" s="53"/>
      <c r="L2" s="51">
        <v>169</v>
      </c>
      <c r="M2" s="51">
        <v>153</v>
      </c>
      <c r="N2" s="51">
        <f>VLOOKUP($A2,'Est gen ed 23 $$'!$A$6:$H$121,8,FALSE)</f>
        <v>-16</v>
      </c>
      <c r="O2" s="52">
        <v>16.899999999999999</v>
      </c>
      <c r="P2" s="52">
        <v>16.899999999999999</v>
      </c>
      <c r="Q2" s="5">
        <v>17</v>
      </c>
      <c r="R2">
        <f t="shared" ref="R2:R10" si="0">ROUNDUP(M2/Q2,0)</f>
        <v>9</v>
      </c>
      <c r="S2" s="53">
        <f t="shared" ref="S2:S65" si="1">$R2-D2</f>
        <v>-1</v>
      </c>
      <c r="T2" s="53">
        <f>$R2-E2</f>
        <v>-1</v>
      </c>
      <c r="U2" s="1">
        <f>SUM('Est gen ed 23 $$'!T6:V6)/113832</f>
        <v>4.0000156370792048</v>
      </c>
      <c r="V2" s="60">
        <f>SUM(R2,U2)</f>
        <v>13.000015637079205</v>
      </c>
      <c r="W2">
        <f>ROUNDUP(R2/8,0)</f>
        <v>2</v>
      </c>
      <c r="X2">
        <v>1</v>
      </c>
      <c r="Y2" s="27">
        <f>0.75*'Est gen ed 23 pos'!CL6</f>
        <v>0</v>
      </c>
      <c r="Z2" s="27">
        <f>W2-SUM(X2:Y2)</f>
        <v>1</v>
      </c>
    </row>
    <row r="3" spans="1:26" x14ac:dyDescent="0.2">
      <c r="A3" s="2">
        <v>203</v>
      </c>
      <c r="B3" s="25" t="s">
        <v>123</v>
      </c>
      <c r="C3" s="51" t="s">
        <v>7</v>
      </c>
      <c r="D3" s="53">
        <v>13</v>
      </c>
      <c r="E3" s="53">
        <v>13</v>
      </c>
      <c r="F3" s="53">
        <f t="shared" ref="F3:F66" si="2">E3-D3</f>
        <v>0</v>
      </c>
      <c r="G3" s="53"/>
      <c r="H3" s="53"/>
      <c r="I3" s="53"/>
      <c r="J3" s="53"/>
      <c r="L3" s="51">
        <v>263</v>
      </c>
      <c r="M3" s="51">
        <v>288</v>
      </c>
      <c r="N3" s="51">
        <f>VLOOKUP($A3,'Est gen ed 23 $$'!$A$6:$H$121,8,FALSE)</f>
        <v>25</v>
      </c>
      <c r="O3" s="52">
        <v>20.23076923076923</v>
      </c>
      <c r="P3" s="52">
        <v>20.23076923076923</v>
      </c>
      <c r="Q3" s="5">
        <v>19</v>
      </c>
      <c r="R3">
        <f t="shared" si="0"/>
        <v>16</v>
      </c>
      <c r="S3" s="53">
        <f t="shared" si="1"/>
        <v>3</v>
      </c>
      <c r="T3" s="53">
        <f t="shared" ref="T3:T66" si="3">$R3-E3</f>
        <v>3</v>
      </c>
      <c r="U3" s="1">
        <f>SUM('Est gen ed 23 $$'!T7:V7)/113832</f>
        <v>5.0000195902733848</v>
      </c>
      <c r="V3" s="60">
        <f t="shared" ref="V3:V66" si="4">SUM(R3,U3)</f>
        <v>21.000019590273386</v>
      </c>
      <c r="W3">
        <f t="shared" ref="W3" si="5">ROUNDUP(R3/8,0)</f>
        <v>2</v>
      </c>
      <c r="X3">
        <v>1</v>
      </c>
      <c r="Y3" s="27">
        <f>0.75*'Est gen ed 23 pos'!CL7</f>
        <v>0.67500000000000004</v>
      </c>
      <c r="Z3" s="27">
        <f t="shared" ref="Z3:Z66" si="6">W3-SUM(X3:Y3)</f>
        <v>0.32499999999999996</v>
      </c>
    </row>
    <row r="4" spans="1:26" x14ac:dyDescent="0.2">
      <c r="A4" s="2">
        <v>450</v>
      </c>
      <c r="B4" s="25" t="s">
        <v>122</v>
      </c>
      <c r="C4" s="51" t="s">
        <v>1</v>
      </c>
      <c r="D4" s="53">
        <v>24.32</v>
      </c>
      <c r="E4" s="53">
        <v>21</v>
      </c>
      <c r="F4" s="53">
        <f t="shared" si="2"/>
        <v>-3.3200000000000003</v>
      </c>
      <c r="G4" s="53"/>
      <c r="H4" s="53">
        <f>159/112</f>
        <v>1.4196428571428572</v>
      </c>
      <c r="I4" s="53"/>
      <c r="K4" s="53">
        <v>1</v>
      </c>
      <c r="L4" s="51">
        <v>357</v>
      </c>
      <c r="M4" s="51">
        <v>341</v>
      </c>
      <c r="N4" s="58">
        <f t="shared" ref="N4:N67" si="7">M4-L4</f>
        <v>-16</v>
      </c>
      <c r="O4" s="52">
        <v>14.679276315789474</v>
      </c>
      <c r="P4" s="52">
        <v>17</v>
      </c>
      <c r="Q4" s="5">
        <v>17</v>
      </c>
      <c r="R4">
        <f t="shared" si="0"/>
        <v>21</v>
      </c>
      <c r="S4" s="53">
        <f t="shared" si="1"/>
        <v>-3.3200000000000003</v>
      </c>
      <c r="T4" s="53">
        <f t="shared" si="3"/>
        <v>0</v>
      </c>
      <c r="U4" s="1">
        <f>SUM('Est gen ed 23 $$'!T8:V8)/113832</f>
        <v>0</v>
      </c>
      <c r="V4" s="60"/>
      <c r="W4">
        <v>4</v>
      </c>
      <c r="X4">
        <v>1</v>
      </c>
      <c r="Y4" s="27">
        <f>0.75*'Est gen ed 23 pos'!CL8</f>
        <v>0.85250000000000004</v>
      </c>
      <c r="Z4" s="27">
        <f t="shared" si="6"/>
        <v>2.1475</v>
      </c>
    </row>
    <row r="5" spans="1:26" x14ac:dyDescent="0.2">
      <c r="A5" s="2">
        <v>452</v>
      </c>
      <c r="B5" s="25" t="s">
        <v>121</v>
      </c>
      <c r="C5" s="51" t="s">
        <v>1</v>
      </c>
      <c r="D5" s="53">
        <v>40.090000000000003</v>
      </c>
      <c r="E5" s="53">
        <v>32</v>
      </c>
      <c r="F5" s="53">
        <f t="shared" si="2"/>
        <v>-8.0900000000000034</v>
      </c>
      <c r="G5" s="53"/>
      <c r="H5" s="53"/>
      <c r="I5" s="53"/>
      <c r="J5" s="53"/>
      <c r="L5" s="51">
        <v>698</v>
      </c>
      <c r="M5" s="51">
        <v>672</v>
      </c>
      <c r="N5" s="58">
        <f t="shared" si="7"/>
        <v>-26</v>
      </c>
      <c r="O5" s="52">
        <v>17.410825642304811</v>
      </c>
      <c r="P5" s="52">
        <v>21.8125</v>
      </c>
      <c r="Q5" s="5">
        <v>17</v>
      </c>
      <c r="R5">
        <f t="shared" si="0"/>
        <v>40</v>
      </c>
      <c r="S5" s="53">
        <f t="shared" si="1"/>
        <v>-9.0000000000003411E-2</v>
      </c>
      <c r="T5" s="53">
        <f t="shared" si="3"/>
        <v>8</v>
      </c>
      <c r="U5" s="1">
        <f>SUM('Est gen ed 23 $$'!T9:V9)/113832</f>
        <v>0</v>
      </c>
      <c r="V5" s="60"/>
      <c r="W5">
        <v>4</v>
      </c>
      <c r="X5">
        <v>1</v>
      </c>
      <c r="Y5" s="27">
        <f>0.75*'Est gen ed 23 pos'!CL9</f>
        <v>1.6800000000000002</v>
      </c>
      <c r="Z5" s="27">
        <f t="shared" si="6"/>
        <v>1.3199999999999998</v>
      </c>
    </row>
    <row r="6" spans="1:26" x14ac:dyDescent="0.2">
      <c r="A6" s="2">
        <v>462</v>
      </c>
      <c r="B6" s="25" t="s">
        <v>120</v>
      </c>
      <c r="C6" s="51" t="s">
        <v>1</v>
      </c>
      <c r="D6" s="53">
        <v>16.21</v>
      </c>
      <c r="E6" s="53">
        <v>9.5</v>
      </c>
      <c r="F6" s="53">
        <f t="shared" si="2"/>
        <v>-6.7100000000000009</v>
      </c>
      <c r="G6" s="53"/>
      <c r="H6" s="53"/>
      <c r="I6" s="53"/>
      <c r="J6" s="53"/>
      <c r="L6" s="51">
        <v>469</v>
      </c>
      <c r="M6" s="51">
        <v>441</v>
      </c>
      <c r="N6" s="58">
        <f t="shared" si="7"/>
        <v>-28</v>
      </c>
      <c r="O6" s="52">
        <v>28.932757557063539</v>
      </c>
      <c r="P6" s="52">
        <v>49.368421052631582</v>
      </c>
      <c r="Q6" s="5">
        <v>27</v>
      </c>
      <c r="R6">
        <f t="shared" si="0"/>
        <v>17</v>
      </c>
      <c r="S6" s="53">
        <f t="shared" si="1"/>
        <v>0.78999999999999915</v>
      </c>
      <c r="T6" s="53">
        <f t="shared" si="3"/>
        <v>7.5</v>
      </c>
      <c r="U6" s="1">
        <f>SUM('Est gen ed 23 $$'!T10:V10)/113832</f>
        <v>0</v>
      </c>
      <c r="V6" s="60"/>
      <c r="W6">
        <v>4</v>
      </c>
      <c r="X6">
        <v>1</v>
      </c>
      <c r="Y6" s="27">
        <f>0.75*'Est gen ed 23 pos'!CL10</f>
        <v>1.1025</v>
      </c>
      <c r="Z6" s="27">
        <f t="shared" si="6"/>
        <v>1.8975</v>
      </c>
    </row>
    <row r="7" spans="1:26" x14ac:dyDescent="0.2">
      <c r="A7" s="2">
        <v>204</v>
      </c>
      <c r="B7" s="25" t="s">
        <v>119</v>
      </c>
      <c r="C7" s="51" t="s">
        <v>7</v>
      </c>
      <c r="D7" s="53">
        <v>25</v>
      </c>
      <c r="E7" s="53">
        <v>28</v>
      </c>
      <c r="F7" s="53">
        <f t="shared" si="2"/>
        <v>3</v>
      </c>
      <c r="G7" s="53"/>
      <c r="H7" s="53"/>
      <c r="I7" s="53"/>
      <c r="J7" s="53"/>
      <c r="L7" s="51">
        <v>560</v>
      </c>
      <c r="M7" s="51">
        <v>609</v>
      </c>
      <c r="N7" s="58">
        <f t="shared" si="7"/>
        <v>49</v>
      </c>
      <c r="O7" s="52">
        <v>22.4</v>
      </c>
      <c r="P7" s="52">
        <v>20</v>
      </c>
      <c r="Q7" s="5">
        <v>20</v>
      </c>
      <c r="R7">
        <f t="shared" si="0"/>
        <v>31</v>
      </c>
      <c r="S7" s="53">
        <f t="shared" si="1"/>
        <v>6</v>
      </c>
      <c r="T7" s="53">
        <f t="shared" si="3"/>
        <v>3</v>
      </c>
      <c r="U7" s="1">
        <f>SUM('Est gen ed 23 $$'!T11:V11)/113832</f>
        <v>6.0000235434675666</v>
      </c>
      <c r="V7" s="60">
        <f t="shared" si="4"/>
        <v>37.000023543467563</v>
      </c>
      <c r="W7">
        <f>ROUNDUP(R7/8,0)</f>
        <v>4</v>
      </c>
      <c r="X7">
        <v>1</v>
      </c>
      <c r="Y7" s="27">
        <f>0.75*'Est gen ed 23 pos'!CL11</f>
        <v>1.3331250000000001</v>
      </c>
      <c r="Z7" s="27">
        <f t="shared" si="6"/>
        <v>1.6668750000000001</v>
      </c>
    </row>
    <row r="8" spans="1:26" x14ac:dyDescent="0.2">
      <c r="A8" s="2">
        <v>1058</v>
      </c>
      <c r="B8" s="25" t="s">
        <v>118</v>
      </c>
      <c r="C8" s="51" t="s">
        <v>1</v>
      </c>
      <c r="D8" s="53">
        <v>16</v>
      </c>
      <c r="E8" s="53">
        <v>26</v>
      </c>
      <c r="F8" s="53">
        <f t="shared" si="2"/>
        <v>10</v>
      </c>
      <c r="G8" s="53">
        <v>2</v>
      </c>
      <c r="H8" s="53">
        <f>125/112</f>
        <v>1.1160714285714286</v>
      </c>
      <c r="I8" s="53"/>
      <c r="J8" s="1">
        <v>800000</v>
      </c>
      <c r="K8" s="53">
        <v>0.5</v>
      </c>
      <c r="L8" s="51">
        <v>385</v>
      </c>
      <c r="M8" s="51">
        <v>500</v>
      </c>
      <c r="N8" s="58">
        <f t="shared" si="7"/>
        <v>115</v>
      </c>
      <c r="O8" s="54" t="s">
        <v>34</v>
      </c>
      <c r="P8" s="52">
        <v>14.807692307692308</v>
      </c>
      <c r="Q8" s="5">
        <v>17</v>
      </c>
      <c r="R8">
        <f t="shared" si="0"/>
        <v>30</v>
      </c>
      <c r="S8" s="53">
        <f t="shared" si="1"/>
        <v>14</v>
      </c>
      <c r="T8" s="53">
        <f t="shared" si="3"/>
        <v>4</v>
      </c>
      <c r="U8" s="1">
        <f>SUM('Est gen ed 23 $$'!T12:V12)/113832</f>
        <v>0</v>
      </c>
      <c r="V8" s="60"/>
      <c r="W8">
        <v>4</v>
      </c>
      <c r="X8">
        <v>1</v>
      </c>
      <c r="Y8" s="27">
        <f>0.75*'Est gen ed 23 pos'!CL12</f>
        <v>1.25</v>
      </c>
      <c r="Z8" s="27">
        <f t="shared" si="6"/>
        <v>1.75</v>
      </c>
    </row>
    <row r="9" spans="1:26" x14ac:dyDescent="0.2">
      <c r="A9" s="2">
        <v>205</v>
      </c>
      <c r="B9" s="25" t="s">
        <v>117</v>
      </c>
      <c r="C9" s="51" t="s">
        <v>7</v>
      </c>
      <c r="D9" s="53">
        <v>23</v>
      </c>
      <c r="E9" s="53">
        <v>24</v>
      </c>
      <c r="F9" s="53">
        <f t="shared" si="2"/>
        <v>1</v>
      </c>
      <c r="G9" s="53"/>
      <c r="H9" s="53">
        <v>1</v>
      </c>
      <c r="I9" s="53"/>
      <c r="L9" s="51">
        <v>503</v>
      </c>
      <c r="M9" s="51">
        <v>465</v>
      </c>
      <c r="N9" s="58">
        <f t="shared" si="7"/>
        <v>-38</v>
      </c>
      <c r="O9" s="52">
        <v>21.869565217391305</v>
      </c>
      <c r="P9" s="52">
        <v>20.958333333333332</v>
      </c>
      <c r="Q9" s="5">
        <v>20</v>
      </c>
      <c r="R9">
        <f t="shared" si="0"/>
        <v>24</v>
      </c>
      <c r="S9" s="53">
        <f t="shared" si="1"/>
        <v>1</v>
      </c>
      <c r="T9" s="53">
        <f t="shared" si="3"/>
        <v>0</v>
      </c>
      <c r="U9" s="1">
        <f>SUM('Est gen ed 23 $$'!T13:V13)/113832</f>
        <v>8.0000312741584096</v>
      </c>
      <c r="V9" s="60">
        <f t="shared" si="4"/>
        <v>32.00003127415841</v>
      </c>
      <c r="W9">
        <f t="shared" ref="W9:W10" si="8">ROUNDUP(R9/8,0)</f>
        <v>3</v>
      </c>
      <c r="X9">
        <v>1</v>
      </c>
      <c r="Y9" s="27">
        <f>0.75*'Est gen ed 23 pos'!CL13</f>
        <v>1.1268750000000001</v>
      </c>
      <c r="Z9" s="27">
        <f t="shared" si="6"/>
        <v>0.87312499999999993</v>
      </c>
    </row>
    <row r="10" spans="1:26" x14ac:dyDescent="0.2">
      <c r="A10" s="2">
        <v>206</v>
      </c>
      <c r="B10" s="25" t="s">
        <v>116</v>
      </c>
      <c r="C10" s="51" t="s">
        <v>7</v>
      </c>
      <c r="D10" s="53">
        <v>19</v>
      </c>
      <c r="E10" s="53">
        <v>18</v>
      </c>
      <c r="F10" s="53">
        <f t="shared" si="2"/>
        <v>-1</v>
      </c>
      <c r="G10" s="53"/>
      <c r="H10" s="53"/>
      <c r="I10" s="53"/>
      <c r="J10" s="53"/>
      <c r="L10" s="51">
        <v>373</v>
      </c>
      <c r="M10" s="51">
        <v>288</v>
      </c>
      <c r="N10" s="58">
        <f t="shared" si="7"/>
        <v>-85</v>
      </c>
      <c r="O10" s="52">
        <v>19.631578947368421</v>
      </c>
      <c r="P10" s="52">
        <v>20.722222222222221</v>
      </c>
      <c r="Q10" s="5">
        <v>19</v>
      </c>
      <c r="R10">
        <f t="shared" si="0"/>
        <v>16</v>
      </c>
      <c r="S10" s="53">
        <f t="shared" si="1"/>
        <v>-3</v>
      </c>
      <c r="T10" s="53">
        <f t="shared" si="3"/>
        <v>-2</v>
      </c>
      <c r="U10" s="1">
        <f>SUM('Est gen ed 23 $$'!T14:V14)/113832</f>
        <v>5.0000195902733848</v>
      </c>
      <c r="V10" s="60">
        <f t="shared" si="4"/>
        <v>21.000019590273386</v>
      </c>
      <c r="W10">
        <f t="shared" si="8"/>
        <v>2</v>
      </c>
      <c r="X10">
        <v>1</v>
      </c>
      <c r="Y10" s="27">
        <f>0.75*'Est gen ed 23 pos'!CL14</f>
        <v>0.68812499999999988</v>
      </c>
      <c r="Z10" s="27">
        <f t="shared" si="6"/>
        <v>0.31187500000000012</v>
      </c>
    </row>
    <row r="11" spans="1:26" x14ac:dyDescent="0.2">
      <c r="A11" s="2">
        <v>402</v>
      </c>
      <c r="B11" s="25" t="s">
        <v>115</v>
      </c>
      <c r="C11" s="51" t="s">
        <v>1</v>
      </c>
      <c r="D11" s="53">
        <v>23.8</v>
      </c>
      <c r="E11" s="53">
        <v>34</v>
      </c>
      <c r="F11" s="53">
        <f t="shared" si="2"/>
        <v>10.199999999999999</v>
      </c>
      <c r="G11" s="53">
        <v>0.4</v>
      </c>
      <c r="H11" s="53">
        <f>81/112</f>
        <v>0.7232142857142857</v>
      </c>
      <c r="I11" s="53"/>
      <c r="J11" s="1">
        <v>690480</v>
      </c>
      <c r="L11" s="51">
        <v>572</v>
      </c>
      <c r="M11" s="51">
        <v>564</v>
      </c>
      <c r="N11" s="58">
        <f t="shared" si="7"/>
        <v>-8</v>
      </c>
      <c r="O11" s="54" t="s">
        <v>34</v>
      </c>
      <c r="P11" s="52">
        <v>16.823529411764707</v>
      </c>
      <c r="Q11" s="5">
        <v>17</v>
      </c>
      <c r="R11">
        <f t="shared" ref="R11:R74" si="9">ROUNDUP(M11/Q11,0)</f>
        <v>34</v>
      </c>
      <c r="S11" s="53">
        <f t="shared" si="1"/>
        <v>10.199999999999999</v>
      </c>
      <c r="T11" s="53">
        <f t="shared" si="3"/>
        <v>0</v>
      </c>
      <c r="U11" s="1">
        <f>SUM('Est gen ed 23 $$'!T15:V15)/113832</f>
        <v>0</v>
      </c>
      <c r="V11" s="60"/>
      <c r="W11">
        <v>4</v>
      </c>
      <c r="X11">
        <v>1</v>
      </c>
      <c r="Y11" s="27">
        <f>0.75*'Est gen ed 23 pos'!CL15</f>
        <v>1.41</v>
      </c>
      <c r="Z11" s="27">
        <f t="shared" si="6"/>
        <v>1.5899999999999999</v>
      </c>
    </row>
    <row r="12" spans="1:26" x14ac:dyDescent="0.2">
      <c r="A12" s="2">
        <v>291</v>
      </c>
      <c r="B12" s="25" t="s">
        <v>114</v>
      </c>
      <c r="C12" s="51" t="s">
        <v>7</v>
      </c>
      <c r="D12" s="53">
        <v>17</v>
      </c>
      <c r="E12" s="53">
        <v>17</v>
      </c>
      <c r="F12" s="53">
        <f t="shared" si="2"/>
        <v>0</v>
      </c>
      <c r="G12" s="53"/>
      <c r="H12" s="53"/>
      <c r="I12" s="53"/>
      <c r="J12" s="53"/>
      <c r="L12" s="51">
        <v>335</v>
      </c>
      <c r="M12" s="51">
        <v>337</v>
      </c>
      <c r="N12" s="58">
        <f t="shared" si="7"/>
        <v>2</v>
      </c>
      <c r="O12" s="52">
        <v>19.705882352941178</v>
      </c>
      <c r="P12" s="52">
        <v>19.705882352941178</v>
      </c>
      <c r="Q12" s="5">
        <v>19</v>
      </c>
      <c r="R12">
        <f t="shared" si="9"/>
        <v>18</v>
      </c>
      <c r="S12" s="53">
        <f t="shared" si="1"/>
        <v>1</v>
      </c>
      <c r="T12" s="53">
        <f t="shared" si="3"/>
        <v>1</v>
      </c>
      <c r="U12" s="1">
        <f>SUM('Est gen ed 23 $$'!T16:V16)/113832</f>
        <v>6.0000235434675666</v>
      </c>
      <c r="V12" s="60">
        <f t="shared" si="4"/>
        <v>24.000023543467567</v>
      </c>
      <c r="W12">
        <f t="shared" ref="W12:W14" si="10">ROUNDUP(R12/8,0)</f>
        <v>3</v>
      </c>
      <c r="X12">
        <v>1</v>
      </c>
      <c r="Y12" s="27">
        <f>0.75*'Est gen ed 23 pos'!CL16</f>
        <v>0.81937499999999996</v>
      </c>
      <c r="Z12" s="27">
        <f t="shared" si="6"/>
        <v>1.180625</v>
      </c>
    </row>
    <row r="13" spans="1:26" x14ac:dyDescent="0.2">
      <c r="A13" s="2">
        <v>212</v>
      </c>
      <c r="B13" s="25" t="s">
        <v>113</v>
      </c>
      <c r="C13" s="51" t="s">
        <v>7</v>
      </c>
      <c r="D13" s="53">
        <v>18</v>
      </c>
      <c r="E13" s="53">
        <v>18</v>
      </c>
      <c r="F13" s="53">
        <f t="shared" si="2"/>
        <v>0</v>
      </c>
      <c r="G13" s="53"/>
      <c r="H13" s="53"/>
      <c r="I13" s="53"/>
      <c r="J13" s="53"/>
      <c r="L13" s="51">
        <v>382</v>
      </c>
      <c r="M13" s="51">
        <v>364</v>
      </c>
      <c r="N13" s="58">
        <f t="shared" si="7"/>
        <v>-18</v>
      </c>
      <c r="O13" s="52">
        <v>21.222222222222221</v>
      </c>
      <c r="P13" s="52">
        <v>21.222222222222221</v>
      </c>
      <c r="Q13" s="5">
        <v>20</v>
      </c>
      <c r="R13">
        <f t="shared" si="9"/>
        <v>19</v>
      </c>
      <c r="S13" s="53">
        <f t="shared" si="1"/>
        <v>1</v>
      </c>
      <c r="T13" s="53">
        <f t="shared" si="3"/>
        <v>1</v>
      </c>
      <c r="U13" s="1">
        <f>SUM('Est gen ed 23 $$'!T17:V17)/113832</f>
        <v>4.0000156370792048</v>
      </c>
      <c r="V13" s="60">
        <f t="shared" si="4"/>
        <v>23.000015637079205</v>
      </c>
      <c r="W13">
        <f t="shared" si="10"/>
        <v>3</v>
      </c>
      <c r="X13">
        <v>1</v>
      </c>
      <c r="Y13" s="27">
        <f>0.75*'Est gen ed 23 pos'!CL17</f>
        <v>0.80249999999999999</v>
      </c>
      <c r="Z13" s="27">
        <f t="shared" si="6"/>
        <v>1.1975</v>
      </c>
    </row>
    <row r="14" spans="1:26" x14ac:dyDescent="0.2">
      <c r="A14" s="2">
        <v>213</v>
      </c>
      <c r="B14" s="25" t="s">
        <v>112</v>
      </c>
      <c r="C14" s="51" t="s">
        <v>7</v>
      </c>
      <c r="D14" s="53">
        <v>23</v>
      </c>
      <c r="E14" s="53">
        <v>24</v>
      </c>
      <c r="F14" s="53">
        <f t="shared" si="2"/>
        <v>1</v>
      </c>
      <c r="G14" s="53"/>
      <c r="H14" s="53">
        <f>178/112</f>
        <v>1.5892857142857142</v>
      </c>
      <c r="I14" s="53"/>
      <c r="K14" s="53">
        <v>1</v>
      </c>
      <c r="L14" s="51">
        <v>466</v>
      </c>
      <c r="M14" s="51">
        <v>495</v>
      </c>
      <c r="N14" s="58">
        <f t="shared" si="7"/>
        <v>29</v>
      </c>
      <c r="O14" s="52">
        <v>20.260869565217391</v>
      </c>
      <c r="P14" s="52">
        <v>19.416666666666668</v>
      </c>
      <c r="Q14" s="5">
        <v>20</v>
      </c>
      <c r="R14">
        <f t="shared" si="9"/>
        <v>25</v>
      </c>
      <c r="S14" s="53">
        <f t="shared" si="1"/>
        <v>2</v>
      </c>
      <c r="T14" s="53">
        <f t="shared" si="3"/>
        <v>1</v>
      </c>
      <c r="U14" s="1">
        <f>SUM('Est gen ed 23 $$'!T18:V18)/113832</f>
        <v>6.0000235434675666</v>
      </c>
      <c r="V14" s="60">
        <f t="shared" si="4"/>
        <v>31.000023543467567</v>
      </c>
      <c r="W14">
        <f t="shared" si="10"/>
        <v>4</v>
      </c>
      <c r="X14">
        <v>1</v>
      </c>
      <c r="Y14" s="27">
        <f>0.75*'Est gen ed 23 pos'!CL18</f>
        <v>1.1174999999999999</v>
      </c>
      <c r="Z14" s="27">
        <f t="shared" si="6"/>
        <v>1.8825000000000003</v>
      </c>
    </row>
    <row r="15" spans="1:26" x14ac:dyDescent="0.2">
      <c r="A15" s="2">
        <v>347</v>
      </c>
      <c r="B15" s="25" t="s">
        <v>111</v>
      </c>
      <c r="C15" s="51" t="s">
        <v>19</v>
      </c>
      <c r="D15" s="53">
        <v>19.2</v>
      </c>
      <c r="E15" s="53">
        <v>20</v>
      </c>
      <c r="F15" s="53">
        <f t="shared" si="2"/>
        <v>0.80000000000000071</v>
      </c>
      <c r="G15" s="53"/>
      <c r="H15" s="53">
        <f>160/112</f>
        <v>1.4285714285714286</v>
      </c>
      <c r="I15" s="53"/>
      <c r="J15" s="1">
        <v>200000</v>
      </c>
      <c r="L15" s="51">
        <v>359</v>
      </c>
      <c r="M15" s="51">
        <v>329</v>
      </c>
      <c r="N15" s="58">
        <f t="shared" si="7"/>
        <v>-30</v>
      </c>
      <c r="O15" s="52">
        <v>18.697916666666668</v>
      </c>
      <c r="P15" s="52">
        <v>17.95</v>
      </c>
      <c r="Q15" s="5">
        <v>19</v>
      </c>
      <c r="R15">
        <f t="shared" si="9"/>
        <v>18</v>
      </c>
      <c r="S15" s="53">
        <f t="shared" si="1"/>
        <v>-1.1999999999999993</v>
      </c>
      <c r="T15" s="53">
        <f t="shared" si="3"/>
        <v>-2</v>
      </c>
      <c r="U15" s="1">
        <f>SUM('Est gen ed 23 $$'!T19:V19)/113832</f>
        <v>0</v>
      </c>
      <c r="V15" s="60"/>
      <c r="W15">
        <v>4</v>
      </c>
      <c r="X15">
        <v>1</v>
      </c>
      <c r="Y15" s="27">
        <f>0.75*'Est gen ed 23 pos'!CL19</f>
        <v>0.82250000000000001</v>
      </c>
      <c r="Z15" s="27">
        <f t="shared" si="6"/>
        <v>2.1775000000000002</v>
      </c>
    </row>
    <row r="16" spans="1:26" x14ac:dyDescent="0.2">
      <c r="A16" s="2">
        <v>404</v>
      </c>
      <c r="B16" s="25" t="s">
        <v>110</v>
      </c>
      <c r="C16" s="51" t="s">
        <v>4</v>
      </c>
      <c r="D16" s="53">
        <v>19.899999999999999</v>
      </c>
      <c r="E16" s="53">
        <v>26.5</v>
      </c>
      <c r="F16" s="53">
        <f t="shared" si="2"/>
        <v>6.6000000000000014</v>
      </c>
      <c r="G16" s="53"/>
      <c r="H16" s="53">
        <f>195/112</f>
        <v>1.7410714285714286</v>
      </c>
      <c r="I16" s="53"/>
      <c r="K16" s="53">
        <v>1</v>
      </c>
      <c r="L16" s="51">
        <v>369</v>
      </c>
      <c r="M16" s="51">
        <v>348</v>
      </c>
      <c r="N16" s="58">
        <f t="shared" si="7"/>
        <v>-21</v>
      </c>
      <c r="O16" s="52">
        <v>18.542713567839197</v>
      </c>
      <c r="P16" s="52">
        <v>13.924528301886792</v>
      </c>
      <c r="Q16" s="5">
        <v>18</v>
      </c>
      <c r="R16">
        <f t="shared" si="9"/>
        <v>20</v>
      </c>
      <c r="S16" s="53">
        <f t="shared" si="1"/>
        <v>0.10000000000000142</v>
      </c>
      <c r="T16" s="53">
        <f t="shared" si="3"/>
        <v>-6.5</v>
      </c>
      <c r="U16" s="1">
        <f>SUM('Est gen ed 23 $$'!T20:V20)/113832</f>
        <v>4.0000156370792048</v>
      </c>
      <c r="V16" s="60">
        <f>SUM(R16,U16)</f>
        <v>24.000015637079205</v>
      </c>
      <c r="W16">
        <f>ROUNDUP(R16/8,0)</f>
        <v>3</v>
      </c>
      <c r="X16">
        <v>1</v>
      </c>
      <c r="Y16" s="27">
        <f>0.75*'Est gen ed 23 pos'!CL20</f>
        <v>0.77437500000000004</v>
      </c>
      <c r="Z16" s="27">
        <f t="shared" si="6"/>
        <v>1.225625</v>
      </c>
    </row>
    <row r="17" spans="1:26" x14ac:dyDescent="0.2">
      <c r="A17" s="2">
        <v>296</v>
      </c>
      <c r="B17" s="25" t="s">
        <v>109</v>
      </c>
      <c r="C17" s="51" t="s">
        <v>7</v>
      </c>
      <c r="D17" s="53">
        <v>18</v>
      </c>
      <c r="E17" s="53">
        <v>17</v>
      </c>
      <c r="F17" s="53">
        <f t="shared" si="2"/>
        <v>-1</v>
      </c>
      <c r="G17" s="53"/>
      <c r="H17" s="53"/>
      <c r="I17" s="53"/>
      <c r="J17" s="53"/>
      <c r="L17" s="51">
        <v>387</v>
      </c>
      <c r="M17" s="51">
        <v>328</v>
      </c>
      <c r="N17" s="58">
        <f t="shared" si="7"/>
        <v>-59</v>
      </c>
      <c r="O17" s="52">
        <v>21.5</v>
      </c>
      <c r="P17" s="52">
        <v>22.764705882352942</v>
      </c>
      <c r="Q17" s="5">
        <v>19</v>
      </c>
      <c r="R17">
        <f t="shared" si="9"/>
        <v>18</v>
      </c>
      <c r="S17" s="53">
        <f t="shared" si="1"/>
        <v>0</v>
      </c>
      <c r="T17" s="53">
        <f t="shared" si="3"/>
        <v>1</v>
      </c>
      <c r="U17" s="1">
        <f>SUM('Est gen ed 23 $$'!T21:V21)/113832</f>
        <v>6.0000235434675666</v>
      </c>
      <c r="V17" s="60">
        <f t="shared" si="4"/>
        <v>24.000023543467567</v>
      </c>
      <c r="W17">
        <f t="shared" ref="W17:W21" si="11">ROUNDUP(R17/8,0)</f>
        <v>3</v>
      </c>
      <c r="X17">
        <v>1</v>
      </c>
      <c r="Y17" s="27">
        <f>0.75*'Est gen ed 23 pos'!CL21</f>
        <v>0.78937499999999994</v>
      </c>
      <c r="Z17" s="27">
        <f t="shared" si="6"/>
        <v>1.2106250000000001</v>
      </c>
    </row>
    <row r="18" spans="1:26" x14ac:dyDescent="0.2">
      <c r="A18" s="2">
        <v>219</v>
      </c>
      <c r="B18" s="25" t="s">
        <v>108</v>
      </c>
      <c r="C18" s="51" t="s">
        <v>7</v>
      </c>
      <c r="D18" s="53">
        <v>8</v>
      </c>
      <c r="E18" s="53">
        <v>8</v>
      </c>
      <c r="F18" s="53">
        <f t="shared" si="2"/>
        <v>0</v>
      </c>
      <c r="G18" s="53"/>
      <c r="H18" s="53"/>
      <c r="I18" s="53"/>
      <c r="J18" s="53"/>
      <c r="L18" s="51">
        <v>158</v>
      </c>
      <c r="M18" s="51">
        <v>154</v>
      </c>
      <c r="N18" s="58">
        <f t="shared" si="7"/>
        <v>-4</v>
      </c>
      <c r="O18" s="52">
        <v>19.75</v>
      </c>
      <c r="P18" s="52">
        <v>19.75</v>
      </c>
      <c r="Q18" s="5">
        <v>17</v>
      </c>
      <c r="R18">
        <f t="shared" si="9"/>
        <v>10</v>
      </c>
      <c r="S18" s="53">
        <f t="shared" si="1"/>
        <v>2</v>
      </c>
      <c r="T18" s="53">
        <f t="shared" si="3"/>
        <v>2</v>
      </c>
      <c r="U18" s="1">
        <f>SUM('Est gen ed 23 $$'!T22:V22)/113832</f>
        <v>5.0000195902733848</v>
      </c>
      <c r="V18" s="60">
        <f t="shared" si="4"/>
        <v>15.000019590273386</v>
      </c>
      <c r="W18">
        <f t="shared" si="11"/>
        <v>2</v>
      </c>
      <c r="X18">
        <v>1</v>
      </c>
      <c r="Y18" s="27">
        <f>0.75*'Est gen ed 23 pos'!CL22</f>
        <v>0</v>
      </c>
      <c r="Z18" s="27">
        <f t="shared" si="6"/>
        <v>1</v>
      </c>
    </row>
    <row r="19" spans="1:26" x14ac:dyDescent="0.2">
      <c r="A19" s="2">
        <v>220</v>
      </c>
      <c r="B19" s="25" t="s">
        <v>107</v>
      </c>
      <c r="C19" s="51" t="s">
        <v>7</v>
      </c>
      <c r="D19" s="53">
        <v>12</v>
      </c>
      <c r="E19" s="53">
        <v>12</v>
      </c>
      <c r="F19" s="53">
        <f t="shared" si="2"/>
        <v>0</v>
      </c>
      <c r="G19" s="53"/>
      <c r="H19" s="53"/>
      <c r="I19" s="53"/>
      <c r="J19" s="53"/>
      <c r="L19" s="51">
        <v>198</v>
      </c>
      <c r="M19" s="51">
        <v>166</v>
      </c>
      <c r="N19" s="58">
        <f t="shared" si="7"/>
        <v>-32</v>
      </c>
      <c r="O19" s="52">
        <v>16.5</v>
      </c>
      <c r="P19" s="52">
        <v>16.5</v>
      </c>
      <c r="Q19" s="5">
        <v>17</v>
      </c>
      <c r="R19">
        <f t="shared" si="9"/>
        <v>10</v>
      </c>
      <c r="S19" s="53">
        <f t="shared" si="1"/>
        <v>-2</v>
      </c>
      <c r="T19" s="53">
        <f t="shared" si="3"/>
        <v>-2</v>
      </c>
      <c r="U19" s="1">
        <f>SUM('Est gen ed 23 $$'!T23:V23)/113832</f>
        <v>5.0000195902733848</v>
      </c>
      <c r="V19" s="60">
        <f t="shared" si="4"/>
        <v>15.000019590273386</v>
      </c>
      <c r="W19">
        <f t="shared" si="11"/>
        <v>2</v>
      </c>
      <c r="X19">
        <v>1</v>
      </c>
      <c r="Y19" s="27">
        <f>0.75*'Est gen ed 23 pos'!CL23</f>
        <v>0</v>
      </c>
      <c r="Z19" s="27">
        <f t="shared" si="6"/>
        <v>1</v>
      </c>
    </row>
    <row r="20" spans="1:26" x14ac:dyDescent="0.2">
      <c r="A20" s="2">
        <v>221</v>
      </c>
      <c r="B20" s="25" t="s">
        <v>106</v>
      </c>
      <c r="C20" s="51" t="s">
        <v>7</v>
      </c>
      <c r="D20" s="53">
        <v>12</v>
      </c>
      <c r="E20" s="53">
        <v>12</v>
      </c>
      <c r="F20" s="53">
        <f t="shared" si="2"/>
        <v>0</v>
      </c>
      <c r="G20" s="53"/>
      <c r="H20" s="53"/>
      <c r="I20" s="53"/>
      <c r="J20" s="53"/>
      <c r="L20" s="51">
        <v>220</v>
      </c>
      <c r="M20" s="51">
        <v>185</v>
      </c>
      <c r="N20" s="58">
        <f t="shared" si="7"/>
        <v>-35</v>
      </c>
      <c r="O20" s="52">
        <v>18.333333333333332</v>
      </c>
      <c r="P20" s="52">
        <v>18.333333333333332</v>
      </c>
      <c r="Q20" s="5">
        <v>17</v>
      </c>
      <c r="R20">
        <f t="shared" si="9"/>
        <v>11</v>
      </c>
      <c r="S20" s="53">
        <f t="shared" si="1"/>
        <v>-1</v>
      </c>
      <c r="T20" s="53">
        <f t="shared" si="3"/>
        <v>-1</v>
      </c>
      <c r="U20" s="1">
        <f>SUM('Est gen ed 23 $$'!T24:V24)/113832</f>
        <v>6.0000235434675666</v>
      </c>
      <c r="V20" s="60">
        <f t="shared" si="4"/>
        <v>17.000023543467567</v>
      </c>
      <c r="W20">
        <f t="shared" si="11"/>
        <v>2</v>
      </c>
      <c r="X20">
        <v>1</v>
      </c>
      <c r="Y20" s="27">
        <f>0.75*'Est gen ed 23 pos'!CL24</f>
        <v>0</v>
      </c>
      <c r="Z20" s="27">
        <f t="shared" si="6"/>
        <v>1</v>
      </c>
    </row>
    <row r="21" spans="1:26" x14ac:dyDescent="0.2">
      <c r="A21" s="2">
        <v>247</v>
      </c>
      <c r="B21" s="25" t="s">
        <v>105</v>
      </c>
      <c r="C21" s="51" t="s">
        <v>7</v>
      </c>
      <c r="D21" s="53">
        <v>11</v>
      </c>
      <c r="E21" s="53">
        <v>12</v>
      </c>
      <c r="F21" s="53">
        <f t="shared" si="2"/>
        <v>1</v>
      </c>
      <c r="G21" s="53">
        <v>0.1</v>
      </c>
      <c r="H21" s="53">
        <f>103/112</f>
        <v>0.9196428571428571</v>
      </c>
      <c r="I21" s="53">
        <v>1</v>
      </c>
      <c r="K21" s="53">
        <v>1</v>
      </c>
      <c r="L21" s="51">
        <v>188</v>
      </c>
      <c r="M21" s="51">
        <v>190</v>
      </c>
      <c r="N21" s="58">
        <f t="shared" si="7"/>
        <v>2</v>
      </c>
      <c r="O21" s="52">
        <v>17.09090909090909</v>
      </c>
      <c r="P21" s="52">
        <v>15.666666666666666</v>
      </c>
      <c r="Q21" s="5">
        <v>17</v>
      </c>
      <c r="R21">
        <f t="shared" si="9"/>
        <v>12</v>
      </c>
      <c r="S21" s="53">
        <f t="shared" si="1"/>
        <v>1</v>
      </c>
      <c r="T21" s="53">
        <f t="shared" si="3"/>
        <v>0</v>
      </c>
      <c r="U21" s="1">
        <f>SUM('Est gen ed 23 $$'!T25:V25)/113832</f>
        <v>3.0000117717337833</v>
      </c>
      <c r="V21" s="60">
        <f t="shared" si="4"/>
        <v>15.000011771733783</v>
      </c>
      <c r="W21">
        <f t="shared" si="11"/>
        <v>2</v>
      </c>
      <c r="X21">
        <v>1</v>
      </c>
      <c r="Y21" s="27">
        <f>0.75*'Est gen ed 23 pos'!CL25</f>
        <v>0</v>
      </c>
      <c r="Z21" s="27">
        <f t="shared" si="6"/>
        <v>1</v>
      </c>
    </row>
    <row r="22" spans="1:26" x14ac:dyDescent="0.2">
      <c r="A22" s="2">
        <v>360</v>
      </c>
      <c r="B22" s="25" t="s">
        <v>104</v>
      </c>
      <c r="C22" s="51" t="s">
        <v>4</v>
      </c>
      <c r="D22" s="53">
        <v>16.2</v>
      </c>
      <c r="E22" s="53">
        <v>20</v>
      </c>
      <c r="F22" s="53">
        <f t="shared" si="2"/>
        <v>3.8000000000000007</v>
      </c>
      <c r="G22" s="53"/>
      <c r="H22" s="53"/>
      <c r="I22" s="53"/>
      <c r="K22" s="53">
        <v>1</v>
      </c>
      <c r="L22" s="51">
        <v>248</v>
      </c>
      <c r="M22" s="51">
        <v>288</v>
      </c>
      <c r="N22" s="58">
        <f t="shared" si="7"/>
        <v>40</v>
      </c>
      <c r="O22" s="52">
        <v>15.308641975308642</v>
      </c>
      <c r="P22" s="52">
        <v>12.4</v>
      </c>
      <c r="Q22" s="5">
        <v>16</v>
      </c>
      <c r="R22">
        <f t="shared" si="9"/>
        <v>18</v>
      </c>
      <c r="S22" s="53">
        <f t="shared" si="1"/>
        <v>1.8000000000000007</v>
      </c>
      <c r="T22" s="53">
        <f t="shared" si="3"/>
        <v>-2</v>
      </c>
      <c r="U22" s="1">
        <f>SUM('Est gen ed 23 $$'!T26:V26)/113832</f>
        <v>8.0000313620071672</v>
      </c>
      <c r="V22" s="60">
        <f t="shared" si="4"/>
        <v>26.000031362007167</v>
      </c>
      <c r="W22">
        <f>ROUNDUP(R22/8,0)</f>
        <v>3</v>
      </c>
      <c r="X22">
        <v>1</v>
      </c>
      <c r="Y22" s="27">
        <f>0.75*'Est gen ed 23 pos'!CL26</f>
        <v>0.74249999999999994</v>
      </c>
      <c r="Z22" s="27">
        <f t="shared" si="6"/>
        <v>1.2575000000000001</v>
      </c>
    </row>
    <row r="23" spans="1:26" x14ac:dyDescent="0.2">
      <c r="A23" s="2">
        <v>454</v>
      </c>
      <c r="B23" s="25" t="s">
        <v>103</v>
      </c>
      <c r="C23" s="51" t="s">
        <v>100</v>
      </c>
      <c r="D23" s="53">
        <v>28.666666666666668</v>
      </c>
      <c r="E23" s="53">
        <v>33</v>
      </c>
      <c r="F23" s="53">
        <f t="shared" si="2"/>
        <v>4.3333333333333321</v>
      </c>
      <c r="G23" s="53"/>
      <c r="H23" s="53">
        <f>286/112</f>
        <v>2.5535714285714284</v>
      </c>
      <c r="I23" s="53"/>
      <c r="K23" s="53">
        <v>2</v>
      </c>
      <c r="L23" s="51">
        <v>640</v>
      </c>
      <c r="M23" s="51">
        <v>652</v>
      </c>
      <c r="N23" s="58">
        <f t="shared" si="7"/>
        <v>12</v>
      </c>
      <c r="O23" s="52">
        <v>19.753086419753089</v>
      </c>
      <c r="P23" s="52">
        <v>19.393939393939394</v>
      </c>
      <c r="Q23" s="5">
        <v>18</v>
      </c>
      <c r="R23">
        <f t="shared" si="9"/>
        <v>37</v>
      </c>
      <c r="S23" s="53">
        <f t="shared" si="1"/>
        <v>8.3333333333333321</v>
      </c>
      <c r="T23" s="53">
        <f t="shared" si="3"/>
        <v>4</v>
      </c>
      <c r="U23" s="1">
        <f>SUM('Est gen ed 23 $$'!T27:V27)/113832</f>
        <v>0</v>
      </c>
      <c r="V23" s="60"/>
      <c r="W23">
        <v>4</v>
      </c>
      <c r="X23">
        <v>1</v>
      </c>
      <c r="Y23" s="27">
        <f>0.75*'Est gen ed 23 pos'!CL27</f>
        <v>1.63</v>
      </c>
      <c r="Z23" s="27">
        <f t="shared" si="6"/>
        <v>1.37</v>
      </c>
    </row>
    <row r="24" spans="1:26" x14ac:dyDescent="0.2">
      <c r="A24" s="2">
        <v>224</v>
      </c>
      <c r="B24" s="25" t="s">
        <v>102</v>
      </c>
      <c r="C24" s="51" t="s">
        <v>7</v>
      </c>
      <c r="D24" s="53">
        <v>12</v>
      </c>
      <c r="E24" s="53">
        <v>13</v>
      </c>
      <c r="F24" s="53">
        <f t="shared" si="2"/>
        <v>1</v>
      </c>
      <c r="G24" s="53"/>
      <c r="H24" s="53"/>
      <c r="I24" s="53"/>
      <c r="J24" s="53"/>
      <c r="L24" s="51">
        <v>225</v>
      </c>
      <c r="M24" s="51">
        <v>206</v>
      </c>
      <c r="N24" s="58">
        <f t="shared" si="7"/>
        <v>-19</v>
      </c>
      <c r="O24" s="52">
        <v>18.75</v>
      </c>
      <c r="P24" s="52">
        <v>17.307692307692307</v>
      </c>
      <c r="Q24" s="5">
        <v>17</v>
      </c>
      <c r="R24">
        <f t="shared" si="9"/>
        <v>13</v>
      </c>
      <c r="S24" s="53">
        <f t="shared" si="1"/>
        <v>1</v>
      </c>
      <c r="T24" s="53">
        <f t="shared" si="3"/>
        <v>0</v>
      </c>
      <c r="U24" s="1">
        <f>SUM('Est gen ed 23 $$'!T28:V28)/113832</f>
        <v>5.0000195902733848</v>
      </c>
      <c r="V24" s="60">
        <f t="shared" si="4"/>
        <v>18.000019590273386</v>
      </c>
      <c r="W24">
        <f>ROUNDUP(R24/8,0)</f>
        <v>2</v>
      </c>
      <c r="X24">
        <v>1</v>
      </c>
      <c r="Y24" s="27">
        <f>0.75*'Est gen ed 23 pos'!CL28</f>
        <v>0</v>
      </c>
      <c r="Z24" s="27">
        <f t="shared" si="6"/>
        <v>1</v>
      </c>
    </row>
    <row r="25" spans="1:26" x14ac:dyDescent="0.2">
      <c r="A25" s="2">
        <v>442</v>
      </c>
      <c r="B25" s="25" t="s">
        <v>101</v>
      </c>
      <c r="C25" s="51" t="s">
        <v>100</v>
      </c>
      <c r="D25" s="53">
        <v>65.5</v>
      </c>
      <c r="E25" s="53">
        <v>67</v>
      </c>
      <c r="F25" s="53">
        <f t="shared" si="2"/>
        <v>1.5</v>
      </c>
      <c r="G25" s="53"/>
      <c r="H25" s="53"/>
      <c r="I25" s="53"/>
      <c r="J25" s="53"/>
      <c r="L25" s="51">
        <v>1500</v>
      </c>
      <c r="M25" s="51">
        <v>1562</v>
      </c>
      <c r="N25" s="58">
        <f t="shared" si="7"/>
        <v>62</v>
      </c>
      <c r="O25" s="54">
        <v>24</v>
      </c>
      <c r="P25" s="52">
        <v>22.388059701492537</v>
      </c>
      <c r="Q25" s="5">
        <v>20</v>
      </c>
      <c r="R25">
        <f t="shared" si="9"/>
        <v>79</v>
      </c>
      <c r="S25" s="53">
        <f t="shared" si="1"/>
        <v>13.5</v>
      </c>
      <c r="T25" s="53">
        <f t="shared" si="3"/>
        <v>12</v>
      </c>
      <c r="U25" s="1">
        <f>SUM('Est gen ed 23 $$'!T29:V29)/113832</f>
        <v>0</v>
      </c>
      <c r="V25" s="60"/>
      <c r="W25">
        <v>4</v>
      </c>
      <c r="X25">
        <v>1</v>
      </c>
      <c r="Y25" s="27">
        <f>0.75*'Est gen ed 23 pos'!CL29</f>
        <v>3.9050000000000002</v>
      </c>
      <c r="Z25" s="27">
        <f t="shared" si="6"/>
        <v>-0.90500000000000025</v>
      </c>
    </row>
    <row r="26" spans="1:26" x14ac:dyDescent="0.2">
      <c r="A26" s="2">
        <v>455</v>
      </c>
      <c r="B26" s="25" t="s">
        <v>99</v>
      </c>
      <c r="C26" s="51" t="s">
        <v>1</v>
      </c>
      <c r="D26" s="53">
        <v>37.619999999999997</v>
      </c>
      <c r="E26" s="53">
        <v>33</v>
      </c>
      <c r="F26" s="53">
        <f t="shared" si="2"/>
        <v>-4.6199999999999974</v>
      </c>
      <c r="G26" s="53"/>
      <c r="H26" s="53">
        <f>331/112</f>
        <v>2.9553571428571428</v>
      </c>
      <c r="I26" s="53"/>
      <c r="J26" s="1">
        <v>832710</v>
      </c>
      <c r="L26" s="51">
        <v>696</v>
      </c>
      <c r="M26" s="51">
        <v>812</v>
      </c>
      <c r="N26" s="58">
        <f t="shared" si="7"/>
        <v>116</v>
      </c>
      <c r="O26" s="52">
        <v>18.500797448165869</v>
      </c>
      <c r="P26" s="52">
        <v>21.09090909090909</v>
      </c>
      <c r="Q26" s="5">
        <v>18</v>
      </c>
      <c r="R26">
        <f t="shared" si="9"/>
        <v>46</v>
      </c>
      <c r="S26" s="53">
        <f t="shared" si="1"/>
        <v>8.3800000000000026</v>
      </c>
      <c r="T26" s="53">
        <f t="shared" si="3"/>
        <v>13</v>
      </c>
      <c r="U26" s="1">
        <f>SUM('Est gen ed 23 $$'!T30:V30)/113832</f>
        <v>0</v>
      </c>
      <c r="V26" s="60"/>
      <c r="W26">
        <v>6</v>
      </c>
      <c r="X26">
        <v>1</v>
      </c>
      <c r="Y26" s="27">
        <f>0.75*'Est gen ed 23 pos'!CL30</f>
        <v>2.0299999999999998</v>
      </c>
      <c r="Z26" s="27">
        <f t="shared" si="6"/>
        <v>2.97</v>
      </c>
    </row>
    <row r="27" spans="1:26" x14ac:dyDescent="0.2">
      <c r="A27" s="2">
        <v>405</v>
      </c>
      <c r="B27" s="25" t="s">
        <v>98</v>
      </c>
      <c r="C27" s="51" t="s">
        <v>19</v>
      </c>
      <c r="D27" s="53">
        <v>69.599999999999994</v>
      </c>
      <c r="E27" s="53">
        <v>90</v>
      </c>
      <c r="F27" s="53">
        <f t="shared" si="2"/>
        <v>20.400000000000006</v>
      </c>
      <c r="G27" s="53"/>
      <c r="H27" s="53"/>
      <c r="I27" s="53">
        <v>3</v>
      </c>
      <c r="J27" s="1">
        <v>471160</v>
      </c>
      <c r="K27" s="53">
        <v>2.5</v>
      </c>
      <c r="L27" s="51">
        <v>1466</v>
      </c>
      <c r="M27" s="51">
        <v>1405</v>
      </c>
      <c r="N27" s="58">
        <f t="shared" si="7"/>
        <v>-61</v>
      </c>
      <c r="O27" s="52">
        <v>21.0632183908046</v>
      </c>
      <c r="P27" s="52">
        <v>16.288888888888888</v>
      </c>
      <c r="Q27" s="5">
        <v>19</v>
      </c>
      <c r="R27">
        <f t="shared" si="9"/>
        <v>74</v>
      </c>
      <c r="S27" s="53">
        <f t="shared" si="1"/>
        <v>4.4000000000000057</v>
      </c>
      <c r="T27" s="53">
        <f t="shared" si="3"/>
        <v>-16</v>
      </c>
      <c r="U27" s="1">
        <f>SUM('Est gen ed 23 $$'!T31:V31)/113832</f>
        <v>0</v>
      </c>
      <c r="V27" s="60"/>
      <c r="W27">
        <v>7</v>
      </c>
      <c r="X27">
        <v>1</v>
      </c>
      <c r="Y27" s="27">
        <f>0.75*'Est gen ed 23 pos'!CL31</f>
        <v>3.5125000000000002</v>
      </c>
      <c r="Z27" s="27">
        <f t="shared" si="6"/>
        <v>2.4874999999999998</v>
      </c>
    </row>
    <row r="28" spans="1:26" x14ac:dyDescent="0.2">
      <c r="A28" s="2">
        <v>349</v>
      </c>
      <c r="B28" s="25" t="s">
        <v>97</v>
      </c>
      <c r="C28" s="51" t="s">
        <v>7</v>
      </c>
      <c r="D28" s="53">
        <v>17</v>
      </c>
      <c r="E28" s="53">
        <v>17</v>
      </c>
      <c r="F28" s="53">
        <f t="shared" si="2"/>
        <v>0</v>
      </c>
      <c r="G28" s="53"/>
      <c r="H28" s="53"/>
      <c r="I28" s="53"/>
      <c r="J28" s="53"/>
      <c r="L28" s="51">
        <v>325</v>
      </c>
      <c r="M28" s="51">
        <v>312</v>
      </c>
      <c r="N28" s="58">
        <f t="shared" si="7"/>
        <v>-13</v>
      </c>
      <c r="O28" s="52">
        <v>19.117647058823529</v>
      </c>
      <c r="P28" s="52">
        <v>19.117647058823529</v>
      </c>
      <c r="Q28" s="5">
        <v>19</v>
      </c>
      <c r="R28">
        <f t="shared" si="9"/>
        <v>17</v>
      </c>
      <c r="S28" s="53">
        <f t="shared" si="1"/>
        <v>0</v>
      </c>
      <c r="T28" s="53">
        <f t="shared" si="3"/>
        <v>0</v>
      </c>
      <c r="U28" s="1">
        <f>SUM('Est gen ed 23 $$'!T32:V32)/113832</f>
        <v>9.0000352273525905</v>
      </c>
      <c r="V28" s="60">
        <f t="shared" si="4"/>
        <v>26.000035227352591</v>
      </c>
      <c r="W28">
        <f t="shared" ref="W28:W29" si="12">ROUNDUP(R28/8,0)</f>
        <v>3</v>
      </c>
      <c r="X28">
        <v>1</v>
      </c>
      <c r="Y28" s="27">
        <f>0.75*'Est gen ed 23 pos'!CL32</f>
        <v>0.81562499999999993</v>
      </c>
      <c r="Z28" s="27">
        <f t="shared" si="6"/>
        <v>1.1843750000000002</v>
      </c>
    </row>
    <row r="29" spans="1:26" x14ac:dyDescent="0.2">
      <c r="A29" s="2">
        <v>231</v>
      </c>
      <c r="B29" s="25" t="s">
        <v>96</v>
      </c>
      <c r="C29" s="51" t="s">
        <v>7</v>
      </c>
      <c r="D29" s="53">
        <v>10</v>
      </c>
      <c r="E29" s="53">
        <v>10</v>
      </c>
      <c r="F29" s="53">
        <f t="shared" si="2"/>
        <v>0</v>
      </c>
      <c r="G29" s="53"/>
      <c r="H29" s="53"/>
      <c r="I29" s="53"/>
      <c r="J29" s="53"/>
      <c r="L29" s="51">
        <v>174</v>
      </c>
      <c r="M29" s="51">
        <v>140</v>
      </c>
      <c r="N29" s="58">
        <f t="shared" si="7"/>
        <v>-34</v>
      </c>
      <c r="O29" s="52">
        <v>17.399999999999999</v>
      </c>
      <c r="P29" s="52">
        <v>17.399999999999999</v>
      </c>
      <c r="Q29" s="5">
        <v>17</v>
      </c>
      <c r="R29">
        <f t="shared" si="9"/>
        <v>9</v>
      </c>
      <c r="S29" s="53">
        <f t="shared" si="1"/>
        <v>-1</v>
      </c>
      <c r="T29" s="53">
        <f t="shared" si="3"/>
        <v>-1</v>
      </c>
      <c r="U29" s="1">
        <f>SUM('Est gen ed 23 $$'!T33:V33)/113832</f>
        <v>3.0000118595825427</v>
      </c>
      <c r="V29" s="60">
        <f t="shared" si="4"/>
        <v>12.000011859582543</v>
      </c>
      <c r="W29">
        <f t="shared" si="12"/>
        <v>2</v>
      </c>
      <c r="X29">
        <v>1</v>
      </c>
      <c r="Y29" s="27">
        <f>0.75*'Est gen ed 23 pos'!CL33</f>
        <v>0</v>
      </c>
      <c r="Z29" s="27">
        <f t="shared" si="6"/>
        <v>1</v>
      </c>
    </row>
    <row r="30" spans="1:26" x14ac:dyDescent="0.2">
      <c r="A30" s="2">
        <v>467</v>
      </c>
      <c r="B30" s="25" t="s">
        <v>95</v>
      </c>
      <c r="C30" s="51" t="s">
        <v>1</v>
      </c>
      <c r="D30" s="53">
        <v>35.26</v>
      </c>
      <c r="E30" s="53">
        <v>28</v>
      </c>
      <c r="F30" s="53">
        <f t="shared" si="2"/>
        <v>-7.259999999999998</v>
      </c>
      <c r="G30" s="53"/>
      <c r="H30" s="53"/>
      <c r="I30" s="53"/>
      <c r="J30" s="53"/>
      <c r="L30" s="51">
        <v>662</v>
      </c>
      <c r="M30" s="51">
        <v>829</v>
      </c>
      <c r="N30" s="58">
        <f t="shared" si="7"/>
        <v>167</v>
      </c>
      <c r="O30" s="52">
        <v>18.774815655133295</v>
      </c>
      <c r="P30" s="52">
        <v>23.642857142857142</v>
      </c>
      <c r="Q30" s="5">
        <v>18</v>
      </c>
      <c r="R30">
        <f t="shared" si="9"/>
        <v>47</v>
      </c>
      <c r="S30" s="53">
        <f t="shared" si="1"/>
        <v>11.740000000000002</v>
      </c>
      <c r="T30" s="53">
        <f t="shared" si="3"/>
        <v>19</v>
      </c>
      <c r="U30" s="1">
        <f>SUM('Est gen ed 23 $$'!T34:V34)/113832</f>
        <v>0</v>
      </c>
      <c r="V30" s="60"/>
      <c r="W30">
        <v>4</v>
      </c>
      <c r="X30">
        <v>1</v>
      </c>
      <c r="Y30" s="27">
        <f>0.75*'Est gen ed 23 pos'!CL34</f>
        <v>2.0724999999999998</v>
      </c>
      <c r="Z30" s="27">
        <f t="shared" si="6"/>
        <v>0.92750000000000021</v>
      </c>
    </row>
    <row r="31" spans="1:26" x14ac:dyDescent="0.2">
      <c r="A31" s="2">
        <v>457</v>
      </c>
      <c r="B31" s="25" t="s">
        <v>94</v>
      </c>
      <c r="C31" s="51" t="s">
        <v>1</v>
      </c>
      <c r="D31" s="53">
        <v>38.58</v>
      </c>
      <c r="E31" s="53">
        <v>40</v>
      </c>
      <c r="F31" s="53">
        <f t="shared" si="2"/>
        <v>1.4200000000000017</v>
      </c>
      <c r="G31" s="53"/>
      <c r="H31" s="53">
        <f>344/112</f>
        <v>3.0714285714285716</v>
      </c>
      <c r="I31" s="53"/>
      <c r="L31" s="51">
        <v>770</v>
      </c>
      <c r="M31" s="51">
        <v>768</v>
      </c>
      <c r="N31" s="58">
        <f t="shared" si="7"/>
        <v>-2</v>
      </c>
      <c r="O31" s="52">
        <v>19.958527734577501</v>
      </c>
      <c r="P31" s="52">
        <v>19.25</v>
      </c>
      <c r="Q31" s="5">
        <v>18</v>
      </c>
      <c r="R31">
        <f t="shared" si="9"/>
        <v>43</v>
      </c>
      <c r="S31" s="53">
        <f t="shared" si="1"/>
        <v>4.4200000000000017</v>
      </c>
      <c r="T31" s="53">
        <f t="shared" si="3"/>
        <v>3</v>
      </c>
      <c r="U31" s="1">
        <f>SUM('Est gen ed 23 $$'!T35:V35)/113832</f>
        <v>0</v>
      </c>
      <c r="V31" s="60"/>
      <c r="W31">
        <v>4</v>
      </c>
      <c r="X31">
        <v>1</v>
      </c>
      <c r="Y31" s="27">
        <f>0.75*'Est gen ed 23 pos'!CL35</f>
        <v>1.92</v>
      </c>
      <c r="Z31" s="27">
        <f t="shared" si="6"/>
        <v>1.08</v>
      </c>
    </row>
    <row r="32" spans="1:26" x14ac:dyDescent="0.2">
      <c r="A32" s="2">
        <v>232</v>
      </c>
      <c r="B32" s="25" t="s">
        <v>93</v>
      </c>
      <c r="C32" s="51" t="s">
        <v>7</v>
      </c>
      <c r="D32" s="53">
        <v>19</v>
      </c>
      <c r="E32" s="53">
        <v>18</v>
      </c>
      <c r="F32" s="53">
        <f t="shared" si="2"/>
        <v>-1</v>
      </c>
      <c r="G32" s="53"/>
      <c r="H32" s="53"/>
      <c r="I32" s="53"/>
      <c r="J32" s="53"/>
      <c r="L32" s="51">
        <v>406</v>
      </c>
      <c r="M32" s="51">
        <v>380</v>
      </c>
      <c r="N32" s="58">
        <f t="shared" si="7"/>
        <v>-26</v>
      </c>
      <c r="O32" s="52">
        <v>21.368421052631579</v>
      </c>
      <c r="P32" s="52">
        <v>22.555555555555557</v>
      </c>
      <c r="Q32" s="5">
        <v>20</v>
      </c>
      <c r="R32">
        <f t="shared" si="9"/>
        <v>19</v>
      </c>
      <c r="S32" s="53">
        <f t="shared" si="1"/>
        <v>0</v>
      </c>
      <c r="T32" s="53">
        <f t="shared" si="3"/>
        <v>1</v>
      </c>
      <c r="U32" s="1">
        <f>SUM('Est gen ed 23 $$'!T36:V36)/113832</f>
        <v>2.0000078185396024</v>
      </c>
      <c r="V32" s="60">
        <f t="shared" si="4"/>
        <v>21.000007818539601</v>
      </c>
      <c r="W32">
        <f>ROUNDUP(R32/8,0)</f>
        <v>3</v>
      </c>
      <c r="X32">
        <v>1</v>
      </c>
      <c r="Y32" s="27">
        <f>0.75*'Est gen ed 23 pos'!CL36</f>
        <v>0.78562500000000002</v>
      </c>
      <c r="Z32" s="27">
        <f t="shared" si="6"/>
        <v>1.214375</v>
      </c>
    </row>
    <row r="33" spans="1:26" x14ac:dyDescent="0.2">
      <c r="A33" s="2">
        <v>407</v>
      </c>
      <c r="B33" s="25" t="s">
        <v>92</v>
      </c>
      <c r="C33" s="51" t="s">
        <v>19</v>
      </c>
      <c r="D33" s="53">
        <v>14.6</v>
      </c>
      <c r="E33" s="53">
        <v>16</v>
      </c>
      <c r="F33" s="53">
        <f t="shared" si="2"/>
        <v>1.4000000000000004</v>
      </c>
      <c r="G33" s="53"/>
      <c r="H33" s="53">
        <f>124/112</f>
        <v>1.1071428571428572</v>
      </c>
      <c r="I33" s="53"/>
      <c r="K33" s="53">
        <v>0.5</v>
      </c>
      <c r="L33" s="51">
        <v>278</v>
      </c>
      <c r="M33" s="51">
        <v>321</v>
      </c>
      <c r="N33" s="58">
        <f t="shared" si="7"/>
        <v>43</v>
      </c>
      <c r="O33" s="52">
        <v>19.041095890410958</v>
      </c>
      <c r="P33" s="52">
        <v>17.375</v>
      </c>
      <c r="Q33" s="5">
        <v>19</v>
      </c>
      <c r="R33">
        <f t="shared" si="9"/>
        <v>17</v>
      </c>
      <c r="S33" s="53">
        <f t="shared" si="1"/>
        <v>2.4000000000000004</v>
      </c>
      <c r="T33" s="53">
        <f t="shared" si="3"/>
        <v>1</v>
      </c>
      <c r="U33" s="1">
        <f>SUM('Est gen ed 23 $$'!T37:V37)/113832</f>
        <v>0</v>
      </c>
      <c r="V33" s="60"/>
      <c r="W33">
        <v>4</v>
      </c>
      <c r="X33">
        <v>1</v>
      </c>
      <c r="Y33" s="27">
        <f>0.75*'Est gen ed 23 pos'!CL37</f>
        <v>0.80249999999999999</v>
      </c>
      <c r="Z33" s="27">
        <f t="shared" si="6"/>
        <v>2.1974999999999998</v>
      </c>
    </row>
    <row r="34" spans="1:26" x14ac:dyDescent="0.2">
      <c r="A34" s="2">
        <v>471</v>
      </c>
      <c r="B34" s="25" t="s">
        <v>91</v>
      </c>
      <c r="C34" s="51" t="s">
        <v>1</v>
      </c>
      <c r="D34" s="53">
        <v>32</v>
      </c>
      <c r="E34" s="53">
        <v>4</v>
      </c>
      <c r="F34" s="53">
        <f t="shared" si="2"/>
        <v>-28</v>
      </c>
      <c r="G34" s="53"/>
      <c r="H34" s="53"/>
      <c r="I34" s="53"/>
      <c r="J34" s="53"/>
      <c r="L34" s="51">
        <v>611</v>
      </c>
      <c r="M34" s="51">
        <v>581</v>
      </c>
      <c r="N34" s="58">
        <f t="shared" si="7"/>
        <v>-30</v>
      </c>
      <c r="O34" s="54" t="s">
        <v>34</v>
      </c>
      <c r="P34" s="54" t="s">
        <v>34</v>
      </c>
      <c r="Q34" s="54" t="str">
        <f>VLOOKUP($A34,'[2]pdf DetailxSch Pos'!$A$4:$DP$120,120,FALSE)</f>
        <v>N/A</v>
      </c>
      <c r="R34" s="54" t="s">
        <v>34</v>
      </c>
      <c r="S34" s="54" t="s">
        <v>34</v>
      </c>
      <c r="T34" s="54" t="s">
        <v>34</v>
      </c>
      <c r="U34" s="1">
        <f>SUM('Est gen ed 23 $$'!T38:V38)/113832</f>
        <v>0</v>
      </c>
      <c r="V34" s="60"/>
      <c r="W34">
        <v>4</v>
      </c>
      <c r="X34">
        <v>1</v>
      </c>
      <c r="Y34" s="27">
        <f>0.75*'Est gen ed 23 pos'!CL38</f>
        <v>1.4525000000000001</v>
      </c>
      <c r="Z34" s="27">
        <f t="shared" si="6"/>
        <v>1.5474999999999999</v>
      </c>
    </row>
    <row r="35" spans="1:26" x14ac:dyDescent="0.2">
      <c r="A35" s="2">
        <v>318</v>
      </c>
      <c r="B35" s="25" t="s">
        <v>90</v>
      </c>
      <c r="C35" s="51" t="s">
        <v>4</v>
      </c>
      <c r="D35" s="53">
        <v>21.2</v>
      </c>
      <c r="E35" s="53">
        <v>25</v>
      </c>
      <c r="F35" s="53">
        <f t="shared" si="2"/>
        <v>3.8000000000000007</v>
      </c>
      <c r="G35" s="53"/>
      <c r="H35" s="53">
        <f>203/112</f>
        <v>1.8125</v>
      </c>
      <c r="I35" s="53">
        <v>1</v>
      </c>
      <c r="K35" s="53">
        <v>1</v>
      </c>
      <c r="L35" s="51">
        <v>378</v>
      </c>
      <c r="M35" s="51">
        <v>422</v>
      </c>
      <c r="N35" s="58">
        <f t="shared" si="7"/>
        <v>44</v>
      </c>
      <c r="O35" s="52">
        <v>17.830188679245282</v>
      </c>
      <c r="P35" s="52">
        <v>15.12</v>
      </c>
      <c r="Q35" s="5">
        <v>18</v>
      </c>
      <c r="R35">
        <f t="shared" si="9"/>
        <v>24</v>
      </c>
      <c r="S35" s="53">
        <f t="shared" si="1"/>
        <v>2.8000000000000007</v>
      </c>
      <c r="T35" s="53">
        <f t="shared" si="3"/>
        <v>-1</v>
      </c>
      <c r="U35" s="1">
        <f>SUM('Est gen ed 23 $$'!T39:V39)/113832</f>
        <v>6.0000235434675666</v>
      </c>
      <c r="V35" s="60">
        <f t="shared" si="4"/>
        <v>30.000023543467567</v>
      </c>
      <c r="W35">
        <f>ROUNDUP(R35/8,0)</f>
        <v>3</v>
      </c>
      <c r="X35">
        <v>1</v>
      </c>
      <c r="Y35" s="27">
        <f>0.75*'Est gen ed 23 pos'!CL39</f>
        <v>0.93375000000000008</v>
      </c>
      <c r="Z35" s="27">
        <f t="shared" si="6"/>
        <v>1.0662499999999999</v>
      </c>
    </row>
    <row r="36" spans="1:26" x14ac:dyDescent="0.2">
      <c r="A36" s="2">
        <v>238</v>
      </c>
      <c r="B36" s="25" t="s">
        <v>89</v>
      </c>
      <c r="C36" s="51" t="s">
        <v>7</v>
      </c>
      <c r="D36" s="53">
        <v>11</v>
      </c>
      <c r="E36" s="53">
        <v>11</v>
      </c>
      <c r="F36" s="53">
        <f t="shared" si="2"/>
        <v>0</v>
      </c>
      <c r="G36" s="53"/>
      <c r="H36" s="53"/>
      <c r="I36" s="53"/>
      <c r="J36" s="53"/>
      <c r="L36" s="51">
        <v>191</v>
      </c>
      <c r="M36" s="51">
        <v>202</v>
      </c>
      <c r="N36" s="58">
        <f t="shared" si="7"/>
        <v>11</v>
      </c>
      <c r="O36" s="52">
        <v>17.363636363636363</v>
      </c>
      <c r="P36" s="52">
        <v>17.363636363636363</v>
      </c>
      <c r="Q36" s="5">
        <v>17</v>
      </c>
      <c r="R36">
        <f t="shared" si="9"/>
        <v>12</v>
      </c>
      <c r="S36" s="53">
        <f t="shared" si="1"/>
        <v>1</v>
      </c>
      <c r="T36" s="53">
        <f t="shared" si="3"/>
        <v>1</v>
      </c>
      <c r="U36" s="1">
        <f>SUM('Est gen ed 23 $$'!T40:V40)/113832</f>
        <v>3.0000118595825427</v>
      </c>
      <c r="V36" s="60">
        <f t="shared" si="4"/>
        <v>15.000011859582543</v>
      </c>
      <c r="W36">
        <f t="shared" ref="W36:W38" si="13">ROUNDUP(R36/8,0)</f>
        <v>2</v>
      </c>
      <c r="X36">
        <v>1</v>
      </c>
      <c r="Y36" s="27">
        <f>0.75*'Est gen ed 23 pos'!CL40</f>
        <v>0</v>
      </c>
      <c r="Z36" s="27">
        <f t="shared" si="6"/>
        <v>1</v>
      </c>
    </row>
    <row r="37" spans="1:26" x14ac:dyDescent="0.2">
      <c r="A37" s="2">
        <v>239</v>
      </c>
      <c r="B37" s="25" t="s">
        <v>88</v>
      </c>
      <c r="C37" s="51" t="s">
        <v>7</v>
      </c>
      <c r="D37" s="53">
        <v>13</v>
      </c>
      <c r="E37" s="53">
        <v>13</v>
      </c>
      <c r="F37" s="53">
        <f t="shared" si="2"/>
        <v>0</v>
      </c>
      <c r="G37" s="53"/>
      <c r="H37" s="53"/>
      <c r="I37" s="53"/>
      <c r="J37" s="53"/>
      <c r="L37" s="51">
        <v>260</v>
      </c>
      <c r="M37" s="51">
        <v>277</v>
      </c>
      <c r="N37" s="58">
        <f t="shared" si="7"/>
        <v>17</v>
      </c>
      <c r="O37" s="52">
        <v>20</v>
      </c>
      <c r="P37" s="52">
        <v>20</v>
      </c>
      <c r="Q37" s="5">
        <v>19</v>
      </c>
      <c r="R37">
        <f t="shared" si="9"/>
        <v>15</v>
      </c>
      <c r="S37" s="53">
        <f t="shared" si="1"/>
        <v>2</v>
      </c>
      <c r="T37" s="53">
        <f t="shared" si="3"/>
        <v>2</v>
      </c>
      <c r="U37" s="1">
        <f>SUM('Est gen ed 23 $$'!T41:V41)/113832</f>
        <v>5.0000195902733848</v>
      </c>
      <c r="V37" s="60">
        <f t="shared" si="4"/>
        <v>20.000019590273386</v>
      </c>
      <c r="W37">
        <f t="shared" si="13"/>
        <v>2</v>
      </c>
      <c r="X37">
        <v>1</v>
      </c>
      <c r="Y37" s="27">
        <f>0.75*'Est gen ed 23 pos'!CL41</f>
        <v>0.66375000000000006</v>
      </c>
      <c r="Z37" s="27">
        <f t="shared" si="6"/>
        <v>0.33624999999999994</v>
      </c>
    </row>
    <row r="38" spans="1:26" x14ac:dyDescent="0.2">
      <c r="A38" s="2">
        <v>227</v>
      </c>
      <c r="B38" s="25" t="s">
        <v>87</v>
      </c>
      <c r="C38" s="51" t="s">
        <v>7</v>
      </c>
      <c r="D38" s="53">
        <v>17</v>
      </c>
      <c r="E38" s="53">
        <v>17</v>
      </c>
      <c r="F38" s="53">
        <f t="shared" si="2"/>
        <v>0</v>
      </c>
      <c r="G38" s="53"/>
      <c r="H38" s="53"/>
      <c r="I38" s="53"/>
      <c r="J38" s="53"/>
      <c r="L38" s="51">
        <v>324</v>
      </c>
      <c r="M38" s="51">
        <v>293</v>
      </c>
      <c r="N38" s="58">
        <f t="shared" si="7"/>
        <v>-31</v>
      </c>
      <c r="O38" s="52">
        <v>19.058823529411764</v>
      </c>
      <c r="P38" s="52">
        <v>19.058823529411764</v>
      </c>
      <c r="Q38" s="5">
        <v>19</v>
      </c>
      <c r="R38">
        <f t="shared" si="9"/>
        <v>16</v>
      </c>
      <c r="S38" s="53">
        <f t="shared" si="1"/>
        <v>-1</v>
      </c>
      <c r="T38" s="53">
        <f t="shared" si="3"/>
        <v>-1</v>
      </c>
      <c r="U38" s="1">
        <f>SUM('Est gen ed 23 $$'!T42:V42)/113832</f>
        <v>5.0000195902733848</v>
      </c>
      <c r="V38" s="60">
        <f t="shared" si="4"/>
        <v>21.000019590273386</v>
      </c>
      <c r="W38">
        <f t="shared" si="13"/>
        <v>2</v>
      </c>
      <c r="X38">
        <v>1</v>
      </c>
      <c r="Y38" s="27">
        <f>0.75*'Est gen ed 23 pos'!CL42</f>
        <v>0.68624999999999992</v>
      </c>
      <c r="Z38" s="27">
        <f t="shared" si="6"/>
        <v>0.3137500000000002</v>
      </c>
    </row>
    <row r="39" spans="1:26" x14ac:dyDescent="0.2">
      <c r="A39" s="2">
        <v>246</v>
      </c>
      <c r="B39" s="25" t="s">
        <v>86</v>
      </c>
      <c r="C39" s="51" t="s">
        <v>19</v>
      </c>
      <c r="D39" s="53">
        <v>26.9</v>
      </c>
      <c r="E39" s="53">
        <v>28.5</v>
      </c>
      <c r="F39" s="53">
        <f t="shared" si="2"/>
        <v>1.6000000000000014</v>
      </c>
      <c r="G39" s="53"/>
      <c r="H39" s="53"/>
      <c r="I39" s="53"/>
      <c r="K39" s="53">
        <v>1.5</v>
      </c>
      <c r="L39" s="51">
        <v>525</v>
      </c>
      <c r="M39" s="51">
        <v>556</v>
      </c>
      <c r="N39" s="58">
        <f t="shared" si="7"/>
        <v>31</v>
      </c>
      <c r="O39" s="52">
        <v>19.516728624535318</v>
      </c>
      <c r="P39" s="52">
        <v>18.421052631578949</v>
      </c>
      <c r="Q39" s="5">
        <v>19</v>
      </c>
      <c r="R39">
        <f t="shared" si="9"/>
        <v>30</v>
      </c>
      <c r="S39" s="53">
        <f t="shared" si="1"/>
        <v>3.1000000000000014</v>
      </c>
      <c r="T39" s="53">
        <f t="shared" si="3"/>
        <v>1.5</v>
      </c>
      <c r="U39" s="1">
        <f>SUM('Est gen ed 23 $$'!T43:V43)/113832</f>
        <v>0</v>
      </c>
      <c r="V39" s="60"/>
      <c r="W39">
        <v>4</v>
      </c>
      <c r="X39">
        <v>1</v>
      </c>
      <c r="Y39" s="27">
        <f>0.75*'Est gen ed 23 pos'!CL43</f>
        <v>1.39</v>
      </c>
      <c r="Z39" s="27">
        <f t="shared" si="6"/>
        <v>1.6100000000000003</v>
      </c>
    </row>
    <row r="40" spans="1:26" x14ac:dyDescent="0.2">
      <c r="A40" s="2">
        <v>413</v>
      </c>
      <c r="B40" s="25" t="s">
        <v>85</v>
      </c>
      <c r="C40" s="51" t="s">
        <v>19</v>
      </c>
      <c r="D40" s="53">
        <v>24.6</v>
      </c>
      <c r="E40" s="53">
        <v>21.5</v>
      </c>
      <c r="F40" s="53">
        <f t="shared" si="2"/>
        <v>-3.1000000000000014</v>
      </c>
      <c r="G40" s="53"/>
      <c r="H40" s="53"/>
      <c r="I40" s="53"/>
      <c r="J40" s="53"/>
      <c r="L40" s="51">
        <v>475</v>
      </c>
      <c r="M40" s="51">
        <v>431</v>
      </c>
      <c r="N40" s="58">
        <f t="shared" si="7"/>
        <v>-44</v>
      </c>
      <c r="O40" s="52">
        <v>19.308943089430894</v>
      </c>
      <c r="P40" s="52">
        <v>22.093023255813954</v>
      </c>
      <c r="Q40" s="5">
        <v>19</v>
      </c>
      <c r="R40">
        <f t="shared" si="9"/>
        <v>23</v>
      </c>
      <c r="S40" s="53">
        <f t="shared" si="1"/>
        <v>-1.6000000000000014</v>
      </c>
      <c r="T40" s="53">
        <f t="shared" si="3"/>
        <v>1.5</v>
      </c>
      <c r="U40" s="1">
        <f>SUM('Est gen ed 23 $$'!T44:V44)/113832</f>
        <v>0</v>
      </c>
      <c r="V40" s="60"/>
      <c r="W40">
        <v>4</v>
      </c>
      <c r="X40">
        <v>1</v>
      </c>
      <c r="Y40" s="27">
        <f>0.75*'Est gen ed 23 pos'!CL44</f>
        <v>1.0775000000000001</v>
      </c>
      <c r="Z40" s="27">
        <f t="shared" si="6"/>
        <v>1.9224999999999999</v>
      </c>
    </row>
    <row r="41" spans="1:26" x14ac:dyDescent="0.2">
      <c r="A41" s="2">
        <v>258</v>
      </c>
      <c r="B41" s="25" t="s">
        <v>84</v>
      </c>
      <c r="C41" s="51" t="s">
        <v>7</v>
      </c>
      <c r="D41" s="53">
        <v>16</v>
      </c>
      <c r="E41" s="53">
        <v>15</v>
      </c>
      <c r="F41" s="53">
        <f t="shared" si="2"/>
        <v>-1</v>
      </c>
      <c r="G41" s="53"/>
      <c r="H41" s="53"/>
      <c r="I41" s="53"/>
      <c r="J41" s="53"/>
      <c r="L41" s="51">
        <v>310</v>
      </c>
      <c r="M41" s="51">
        <v>313</v>
      </c>
      <c r="N41" s="58">
        <f t="shared" si="7"/>
        <v>3</v>
      </c>
      <c r="O41" s="52">
        <v>19.375</v>
      </c>
      <c r="P41" s="52">
        <v>20.666666666666668</v>
      </c>
      <c r="Q41" s="5">
        <v>19</v>
      </c>
      <c r="R41">
        <f t="shared" si="9"/>
        <v>17</v>
      </c>
      <c r="S41" s="53">
        <f t="shared" si="1"/>
        <v>1</v>
      </c>
      <c r="T41" s="53">
        <f t="shared" si="3"/>
        <v>2</v>
      </c>
      <c r="U41" s="1">
        <f>SUM('Est gen ed 23 $$'!T45:V45)/113832</f>
        <v>2.0000078185396024</v>
      </c>
      <c r="V41" s="60">
        <f t="shared" si="4"/>
        <v>19.000007818539601</v>
      </c>
      <c r="W41">
        <f t="shared" ref="W41:W44" si="14">ROUNDUP(R41/8,0)</f>
        <v>3</v>
      </c>
      <c r="X41">
        <v>1</v>
      </c>
      <c r="Y41" s="27">
        <f>0.75*'Est gen ed 23 pos'!CL45</f>
        <v>0.66375000000000006</v>
      </c>
      <c r="Z41" s="27">
        <f t="shared" si="6"/>
        <v>1.3362499999999999</v>
      </c>
    </row>
    <row r="42" spans="1:26" x14ac:dyDescent="0.2">
      <c r="A42" s="2">
        <v>249</v>
      </c>
      <c r="B42" s="25" t="s">
        <v>83</v>
      </c>
      <c r="C42" s="51" t="s">
        <v>7</v>
      </c>
      <c r="D42" s="53">
        <v>13</v>
      </c>
      <c r="E42" s="53">
        <v>16</v>
      </c>
      <c r="F42" s="53">
        <f t="shared" si="2"/>
        <v>3</v>
      </c>
      <c r="G42" s="53"/>
      <c r="H42" s="53">
        <f>138/112</f>
        <v>1.2321428571428572</v>
      </c>
      <c r="I42" s="53">
        <v>4</v>
      </c>
      <c r="K42" s="53">
        <v>1</v>
      </c>
      <c r="L42" s="51">
        <v>250</v>
      </c>
      <c r="M42" s="51">
        <v>235</v>
      </c>
      <c r="N42" s="58">
        <f t="shared" si="7"/>
        <v>-15</v>
      </c>
      <c r="O42" s="52">
        <v>19.23076923076923</v>
      </c>
      <c r="P42" s="52">
        <v>15.625</v>
      </c>
      <c r="Q42" s="5">
        <v>17</v>
      </c>
      <c r="R42">
        <f t="shared" si="9"/>
        <v>14</v>
      </c>
      <c r="S42" s="53">
        <f t="shared" si="1"/>
        <v>1</v>
      </c>
      <c r="T42" s="53">
        <f t="shared" si="3"/>
        <v>-2</v>
      </c>
      <c r="U42" s="1">
        <f>SUM('Est gen ed 23 $$'!T46:V46)/113832</f>
        <v>4.0000156370792048</v>
      </c>
      <c r="V42" s="60">
        <f t="shared" si="4"/>
        <v>18.000015637079205</v>
      </c>
      <c r="W42">
        <f t="shared" si="14"/>
        <v>2</v>
      </c>
      <c r="X42">
        <v>1</v>
      </c>
      <c r="Y42" s="27">
        <f>0.75*'Est gen ed 23 pos'!CL46</f>
        <v>0</v>
      </c>
      <c r="Z42" s="27">
        <f t="shared" si="6"/>
        <v>1</v>
      </c>
    </row>
    <row r="43" spans="1:26" x14ac:dyDescent="0.2">
      <c r="A43" s="2">
        <v>251</v>
      </c>
      <c r="B43" s="25" t="s">
        <v>82</v>
      </c>
      <c r="C43" s="51" t="s">
        <v>7</v>
      </c>
      <c r="D43" s="53">
        <v>12</v>
      </c>
      <c r="E43" s="53">
        <v>12</v>
      </c>
      <c r="F43" s="53">
        <f t="shared" si="2"/>
        <v>0</v>
      </c>
      <c r="G43" s="53"/>
      <c r="H43" s="53"/>
      <c r="I43" s="53"/>
      <c r="J43" s="53"/>
      <c r="L43" s="51">
        <v>216</v>
      </c>
      <c r="M43" s="51">
        <v>213</v>
      </c>
      <c r="N43" s="58">
        <f t="shared" si="7"/>
        <v>-3</v>
      </c>
      <c r="O43" s="52">
        <v>18</v>
      </c>
      <c r="P43" s="52">
        <v>18</v>
      </c>
      <c r="Q43" s="5">
        <v>17</v>
      </c>
      <c r="R43">
        <f t="shared" si="9"/>
        <v>13</v>
      </c>
      <c r="S43" s="53">
        <f t="shared" si="1"/>
        <v>1</v>
      </c>
      <c r="T43" s="53">
        <f t="shared" si="3"/>
        <v>1</v>
      </c>
      <c r="U43" s="1">
        <f>SUM('Est gen ed 23 $$'!T47:V47)/113832</f>
        <v>4.0000156370792048</v>
      </c>
      <c r="V43" s="60">
        <f t="shared" si="4"/>
        <v>17.000015637079205</v>
      </c>
      <c r="W43">
        <f t="shared" si="14"/>
        <v>2</v>
      </c>
      <c r="X43">
        <v>1</v>
      </c>
      <c r="Y43" s="27">
        <f>0.75*'Est gen ed 23 pos'!CL47</f>
        <v>0</v>
      </c>
      <c r="Z43" s="27">
        <f t="shared" si="6"/>
        <v>1</v>
      </c>
    </row>
    <row r="44" spans="1:26" x14ac:dyDescent="0.2">
      <c r="A44" s="2">
        <v>252</v>
      </c>
      <c r="B44" s="25" t="s">
        <v>81</v>
      </c>
      <c r="C44" s="51" t="s">
        <v>7</v>
      </c>
      <c r="D44" s="53">
        <v>17</v>
      </c>
      <c r="E44" s="53">
        <v>17</v>
      </c>
      <c r="F44" s="53">
        <f t="shared" si="2"/>
        <v>0</v>
      </c>
      <c r="G44" s="53"/>
      <c r="H44" s="53"/>
      <c r="I44" s="53"/>
      <c r="J44" s="53"/>
      <c r="L44" s="51">
        <v>351</v>
      </c>
      <c r="M44" s="51">
        <v>341</v>
      </c>
      <c r="N44" s="58">
        <f t="shared" si="7"/>
        <v>-10</v>
      </c>
      <c r="O44" s="52">
        <v>20.647058823529413</v>
      </c>
      <c r="P44" s="52">
        <v>20.647058823529413</v>
      </c>
      <c r="Q44" s="5">
        <v>19</v>
      </c>
      <c r="R44">
        <f t="shared" si="9"/>
        <v>18</v>
      </c>
      <c r="S44" s="53">
        <f t="shared" si="1"/>
        <v>1</v>
      </c>
      <c r="T44" s="53">
        <f t="shared" si="3"/>
        <v>1</v>
      </c>
      <c r="U44" s="1">
        <f>SUM('Est gen ed 23 $$'!T48:V48)/113832</f>
        <v>2.0000078185396024</v>
      </c>
      <c r="V44" s="60">
        <f t="shared" si="4"/>
        <v>20.000007818539601</v>
      </c>
      <c r="W44">
        <f t="shared" si="14"/>
        <v>3</v>
      </c>
      <c r="X44">
        <v>1</v>
      </c>
      <c r="Y44" s="27">
        <f>0.75*'Est gen ed 23 pos'!CL48</f>
        <v>0.71062500000000006</v>
      </c>
      <c r="Z44" s="27">
        <f t="shared" si="6"/>
        <v>1.2893749999999999</v>
      </c>
    </row>
    <row r="45" spans="1:26" x14ac:dyDescent="0.2">
      <c r="A45" s="2">
        <v>1071</v>
      </c>
      <c r="B45" s="25" t="s">
        <v>80</v>
      </c>
      <c r="C45" s="51" t="s">
        <v>19</v>
      </c>
      <c r="D45" s="53">
        <v>28.1</v>
      </c>
      <c r="E45" s="53">
        <v>25</v>
      </c>
      <c r="F45" s="53">
        <f t="shared" si="2"/>
        <v>-3.1000000000000014</v>
      </c>
      <c r="G45" s="53"/>
      <c r="H45" s="53"/>
      <c r="I45" s="53"/>
      <c r="J45" s="53"/>
      <c r="L45" s="51">
        <v>551</v>
      </c>
      <c r="M45" s="51">
        <v>550</v>
      </c>
      <c r="N45" s="58">
        <f t="shared" si="7"/>
        <v>-1</v>
      </c>
      <c r="O45" s="52">
        <v>19.608540925266905</v>
      </c>
      <c r="P45" s="52">
        <v>22.04</v>
      </c>
      <c r="Q45" s="5">
        <v>19</v>
      </c>
      <c r="R45">
        <f t="shared" si="9"/>
        <v>29</v>
      </c>
      <c r="S45" s="53">
        <f t="shared" si="1"/>
        <v>0.89999999999999858</v>
      </c>
      <c r="T45" s="53">
        <f t="shared" si="3"/>
        <v>4</v>
      </c>
      <c r="U45" s="1">
        <f>SUM('Est gen ed 23 $$'!T49:V49)/113832</f>
        <v>0</v>
      </c>
      <c r="V45" s="60"/>
      <c r="W45">
        <v>4</v>
      </c>
      <c r="X45">
        <v>1</v>
      </c>
      <c r="Y45" s="27">
        <f>0.75*'Est gen ed 23 pos'!CL49</f>
        <v>1.375</v>
      </c>
      <c r="Z45" s="27">
        <f t="shared" si="6"/>
        <v>1.625</v>
      </c>
    </row>
    <row r="46" spans="1:26" x14ac:dyDescent="0.2">
      <c r="A46" s="2">
        <v>339</v>
      </c>
      <c r="B46" s="25" t="s">
        <v>79</v>
      </c>
      <c r="C46" s="51" t="s">
        <v>7</v>
      </c>
      <c r="D46" s="53">
        <v>18</v>
      </c>
      <c r="E46" s="53">
        <v>18</v>
      </c>
      <c r="F46" s="53">
        <f t="shared" si="2"/>
        <v>0</v>
      </c>
      <c r="G46" s="53"/>
      <c r="H46" s="53"/>
      <c r="I46" s="53"/>
      <c r="J46" s="53"/>
      <c r="L46" s="51">
        <v>333</v>
      </c>
      <c r="M46" s="51">
        <v>325</v>
      </c>
      <c r="N46" s="58">
        <f t="shared" si="7"/>
        <v>-8</v>
      </c>
      <c r="O46" s="52">
        <v>18.5</v>
      </c>
      <c r="P46" s="52">
        <v>18.5</v>
      </c>
      <c r="Q46" s="5">
        <v>19</v>
      </c>
      <c r="R46">
        <f t="shared" si="9"/>
        <v>18</v>
      </c>
      <c r="S46" s="53">
        <f t="shared" si="1"/>
        <v>0</v>
      </c>
      <c r="T46" s="53">
        <f t="shared" si="3"/>
        <v>0</v>
      </c>
      <c r="U46" s="1">
        <f>SUM('Est gen ed 23 $$'!T50:V50)/113832</f>
        <v>7.0000274966617484</v>
      </c>
      <c r="V46" s="60">
        <f t="shared" si="4"/>
        <v>25.000027496661748</v>
      </c>
      <c r="W46">
        <f t="shared" ref="W46:W47" si="15">ROUNDUP(R46/8,0)</f>
        <v>3</v>
      </c>
      <c r="X46">
        <v>1</v>
      </c>
      <c r="Y46" s="27">
        <f>0.75*'Est gen ed 23 pos'!CL50</f>
        <v>0.80812499999999998</v>
      </c>
      <c r="Z46" s="27">
        <f t="shared" si="6"/>
        <v>1.191875</v>
      </c>
    </row>
    <row r="47" spans="1:26" x14ac:dyDescent="0.2">
      <c r="A47" s="2">
        <v>254</v>
      </c>
      <c r="B47" s="25" t="s">
        <v>78</v>
      </c>
      <c r="C47" s="51" t="s">
        <v>7</v>
      </c>
      <c r="D47" s="53">
        <v>31</v>
      </c>
      <c r="E47" s="53">
        <v>30</v>
      </c>
      <c r="F47" s="53">
        <f t="shared" si="2"/>
        <v>-1</v>
      </c>
      <c r="G47" s="53"/>
      <c r="H47" s="53"/>
      <c r="I47" s="53"/>
      <c r="J47" s="53"/>
      <c r="L47" s="51">
        <v>660</v>
      </c>
      <c r="M47" s="51">
        <v>600</v>
      </c>
      <c r="N47" s="58">
        <f t="shared" si="7"/>
        <v>-60</v>
      </c>
      <c r="O47" s="52">
        <v>21.29032258064516</v>
      </c>
      <c r="P47" s="52">
        <v>22</v>
      </c>
      <c r="Q47" s="5">
        <v>20</v>
      </c>
      <c r="R47">
        <f t="shared" si="9"/>
        <v>30</v>
      </c>
      <c r="S47" s="53">
        <f t="shared" si="1"/>
        <v>-1</v>
      </c>
      <c r="T47" s="53">
        <f t="shared" si="3"/>
        <v>0</v>
      </c>
      <c r="U47" s="1">
        <f>SUM('Est gen ed 23 $$'!T51:V51)/113832</f>
        <v>4.0000156370792048</v>
      </c>
      <c r="V47" s="60">
        <f t="shared" si="4"/>
        <v>34.000015637079201</v>
      </c>
      <c r="W47">
        <f t="shared" si="15"/>
        <v>4</v>
      </c>
      <c r="X47">
        <v>1</v>
      </c>
      <c r="Y47" s="27">
        <f>0.75*'Est gen ed 23 pos'!CL51</f>
        <v>1.27125</v>
      </c>
      <c r="Z47" s="27">
        <f t="shared" si="6"/>
        <v>1.7287499999999998</v>
      </c>
    </row>
    <row r="48" spans="1:26" x14ac:dyDescent="0.2">
      <c r="A48" s="2">
        <v>433</v>
      </c>
      <c r="B48" s="25" t="s">
        <v>77</v>
      </c>
      <c r="C48" s="51" t="s">
        <v>19</v>
      </c>
      <c r="D48" s="53">
        <v>20.7</v>
      </c>
      <c r="E48" s="53">
        <v>21.5</v>
      </c>
      <c r="F48" s="53">
        <f t="shared" si="2"/>
        <v>0.80000000000000071</v>
      </c>
      <c r="G48" s="53">
        <v>0.3</v>
      </c>
      <c r="H48" s="53">
        <f>174/112</f>
        <v>1.5535714285714286</v>
      </c>
      <c r="I48" s="53"/>
      <c r="L48" s="51">
        <v>389</v>
      </c>
      <c r="M48" s="51">
        <v>389</v>
      </c>
      <c r="N48" s="58">
        <f t="shared" si="7"/>
        <v>0</v>
      </c>
      <c r="O48" s="52">
        <v>18.792270531400966</v>
      </c>
      <c r="P48" s="52">
        <v>18.093023255813954</v>
      </c>
      <c r="Q48" s="5">
        <v>19</v>
      </c>
      <c r="R48">
        <f t="shared" si="9"/>
        <v>21</v>
      </c>
      <c r="S48" s="53">
        <f t="shared" si="1"/>
        <v>0.30000000000000071</v>
      </c>
      <c r="T48" s="53">
        <f t="shared" si="3"/>
        <v>-0.5</v>
      </c>
      <c r="U48" s="1">
        <f>SUM('Est gen ed 23 $$'!T52:V52)/113832</f>
        <v>0</v>
      </c>
      <c r="V48" s="60"/>
      <c r="W48">
        <v>4</v>
      </c>
      <c r="X48">
        <v>1</v>
      </c>
      <c r="Y48" s="27">
        <f>0.75*'Est gen ed 23 pos'!CL52</f>
        <v>0.97249999999999992</v>
      </c>
      <c r="Z48" s="27">
        <f t="shared" si="6"/>
        <v>2.0274999999999999</v>
      </c>
    </row>
    <row r="49" spans="1:26" x14ac:dyDescent="0.2">
      <c r="A49" s="2">
        <v>416</v>
      </c>
      <c r="B49" s="25" t="s">
        <v>76</v>
      </c>
      <c r="C49" s="51" t="s">
        <v>19</v>
      </c>
      <c r="D49" s="53">
        <v>19.8</v>
      </c>
      <c r="E49" s="53">
        <v>21</v>
      </c>
      <c r="F49" s="53">
        <f t="shared" si="2"/>
        <v>1.1999999999999993</v>
      </c>
      <c r="G49" s="53"/>
      <c r="H49" s="53">
        <f>166/112</f>
        <v>1.4821428571428572</v>
      </c>
      <c r="I49" s="53"/>
      <c r="K49" s="53">
        <v>1</v>
      </c>
      <c r="L49" s="51">
        <v>371</v>
      </c>
      <c r="M49" s="51">
        <v>332</v>
      </c>
      <c r="N49" s="58">
        <f t="shared" si="7"/>
        <v>-39</v>
      </c>
      <c r="O49" s="52">
        <v>18.737373737373737</v>
      </c>
      <c r="P49" s="52">
        <v>17.666666666666668</v>
      </c>
      <c r="Q49" s="5">
        <v>19</v>
      </c>
      <c r="R49">
        <f t="shared" si="9"/>
        <v>18</v>
      </c>
      <c r="S49" s="53">
        <f t="shared" si="1"/>
        <v>-1.8000000000000007</v>
      </c>
      <c r="T49" s="53">
        <f t="shared" si="3"/>
        <v>-3</v>
      </c>
      <c r="U49" s="1">
        <f>SUM('Est gen ed 23 $$'!T53:V53)/113832</f>
        <v>0</v>
      </c>
      <c r="V49" s="60"/>
      <c r="W49">
        <v>4</v>
      </c>
      <c r="X49">
        <v>1</v>
      </c>
      <c r="Y49" s="27">
        <f>0.75*'Est gen ed 23 pos'!CL53</f>
        <v>0.83000000000000007</v>
      </c>
      <c r="Z49" s="27">
        <f t="shared" si="6"/>
        <v>2.17</v>
      </c>
    </row>
    <row r="50" spans="1:26" x14ac:dyDescent="0.2">
      <c r="A50" s="2">
        <v>421</v>
      </c>
      <c r="B50" s="25" t="s">
        <v>75</v>
      </c>
      <c r="C50" s="51" t="s">
        <v>19</v>
      </c>
      <c r="D50" s="53">
        <v>23.4</v>
      </c>
      <c r="E50" s="53">
        <v>27</v>
      </c>
      <c r="F50" s="53">
        <f t="shared" si="2"/>
        <v>3.6000000000000014</v>
      </c>
      <c r="G50" s="53">
        <v>0.8</v>
      </c>
      <c r="H50" s="53">
        <f>201/112</f>
        <v>1.7946428571428572</v>
      </c>
      <c r="I50" s="53">
        <v>1</v>
      </c>
      <c r="L50" s="51">
        <v>450</v>
      </c>
      <c r="M50" s="51">
        <v>375</v>
      </c>
      <c r="N50" s="58">
        <f t="shared" si="7"/>
        <v>-75</v>
      </c>
      <c r="O50" s="52">
        <v>19.230769230769234</v>
      </c>
      <c r="P50" s="52">
        <v>16.666666666666668</v>
      </c>
      <c r="Q50" s="5">
        <v>19</v>
      </c>
      <c r="R50">
        <f t="shared" si="9"/>
        <v>20</v>
      </c>
      <c r="S50" s="53">
        <f t="shared" si="1"/>
        <v>-3.3999999999999986</v>
      </c>
      <c r="T50" s="53">
        <f t="shared" si="3"/>
        <v>-7</v>
      </c>
      <c r="U50" s="1">
        <f>SUM('Est gen ed 23 $$'!T54:V54)/113832</f>
        <v>0</v>
      </c>
      <c r="V50" s="60"/>
      <c r="W50">
        <v>4</v>
      </c>
      <c r="X50">
        <v>1</v>
      </c>
      <c r="Y50" s="27">
        <f>0.75*'Est gen ed 23 pos'!CL54</f>
        <v>0.9375</v>
      </c>
      <c r="Z50" s="27">
        <f t="shared" si="6"/>
        <v>2.0625</v>
      </c>
    </row>
    <row r="51" spans="1:26" x14ac:dyDescent="0.2">
      <c r="A51" s="2">
        <v>257</v>
      </c>
      <c r="B51" s="25" t="s">
        <v>74</v>
      </c>
      <c r="C51" s="51" t="s">
        <v>7</v>
      </c>
      <c r="D51" s="53">
        <v>14</v>
      </c>
      <c r="E51" s="53">
        <v>13</v>
      </c>
      <c r="F51" s="53">
        <f t="shared" si="2"/>
        <v>-1</v>
      </c>
      <c r="G51" s="53"/>
      <c r="H51" s="53"/>
      <c r="I51" s="53"/>
      <c r="J51" s="53"/>
      <c r="L51" s="51">
        <v>264</v>
      </c>
      <c r="M51" s="51">
        <v>224</v>
      </c>
      <c r="N51" s="58">
        <f t="shared" si="7"/>
        <v>-40</v>
      </c>
      <c r="O51" s="52">
        <v>18.857142857142858</v>
      </c>
      <c r="P51" s="52">
        <v>20.307692307692307</v>
      </c>
      <c r="Q51" s="5">
        <v>17</v>
      </c>
      <c r="R51">
        <f t="shared" si="9"/>
        <v>14</v>
      </c>
      <c r="S51" s="53">
        <f t="shared" si="1"/>
        <v>0</v>
      </c>
      <c r="T51" s="53">
        <f t="shared" si="3"/>
        <v>1</v>
      </c>
      <c r="U51" s="1">
        <f>SUM('Est gen ed 23 $$'!T55:V55)/113832</f>
        <v>5.0000195902733848</v>
      </c>
      <c r="V51" s="60">
        <f t="shared" si="4"/>
        <v>19.000019590273386</v>
      </c>
      <c r="W51">
        <f t="shared" ref="W51:W54" si="16">ROUNDUP(R51/8,0)</f>
        <v>2</v>
      </c>
      <c r="X51">
        <v>1</v>
      </c>
      <c r="Y51" s="27">
        <f>0.75*'Est gen ed 23 pos'!CL55</f>
        <v>0</v>
      </c>
      <c r="Z51" s="27">
        <f t="shared" si="6"/>
        <v>1</v>
      </c>
    </row>
    <row r="52" spans="1:26" x14ac:dyDescent="0.2">
      <c r="A52" s="2">
        <v>272</v>
      </c>
      <c r="B52" s="25" t="s">
        <v>73</v>
      </c>
      <c r="C52" s="51" t="s">
        <v>7</v>
      </c>
      <c r="D52" s="53">
        <v>17</v>
      </c>
      <c r="E52" s="53">
        <v>17</v>
      </c>
      <c r="F52" s="53">
        <f t="shared" si="2"/>
        <v>0</v>
      </c>
      <c r="G52" s="53"/>
      <c r="H52" s="53"/>
      <c r="I52" s="53"/>
      <c r="J52" s="53"/>
      <c r="L52" s="51">
        <v>321</v>
      </c>
      <c r="M52" s="51">
        <v>292</v>
      </c>
      <c r="N52" s="58">
        <f t="shared" si="7"/>
        <v>-29</v>
      </c>
      <c r="O52" s="52">
        <v>18.882352941176471</v>
      </c>
      <c r="P52" s="52">
        <v>18.882352941176471</v>
      </c>
      <c r="Q52" s="5">
        <v>19</v>
      </c>
      <c r="R52">
        <f t="shared" si="9"/>
        <v>16</v>
      </c>
      <c r="S52" s="53">
        <f t="shared" si="1"/>
        <v>-1</v>
      </c>
      <c r="T52" s="53">
        <f t="shared" si="3"/>
        <v>-1</v>
      </c>
      <c r="U52" s="1">
        <f>SUM('Est gen ed 23 $$'!T56:V56)/113832</f>
        <v>3.0000117717337833</v>
      </c>
      <c r="V52" s="60">
        <f t="shared" si="4"/>
        <v>19.000011771733782</v>
      </c>
      <c r="W52">
        <f t="shared" si="16"/>
        <v>2</v>
      </c>
      <c r="X52">
        <v>1</v>
      </c>
      <c r="Y52" s="27">
        <f>0.75*'Est gen ed 23 pos'!CL56</f>
        <v>0.65625</v>
      </c>
      <c r="Z52" s="27">
        <f t="shared" si="6"/>
        <v>0.34375</v>
      </c>
    </row>
    <row r="53" spans="1:26" x14ac:dyDescent="0.2">
      <c r="A53" s="2">
        <v>259</v>
      </c>
      <c r="B53" s="25" t="s">
        <v>72</v>
      </c>
      <c r="C53" s="51" t="s">
        <v>7</v>
      </c>
      <c r="D53" s="53">
        <v>17</v>
      </c>
      <c r="E53" s="53">
        <v>17</v>
      </c>
      <c r="F53" s="53">
        <f t="shared" si="2"/>
        <v>0</v>
      </c>
      <c r="G53" s="53"/>
      <c r="H53" s="53"/>
      <c r="I53" s="53"/>
      <c r="J53" s="53"/>
      <c r="L53" s="51">
        <v>318</v>
      </c>
      <c r="M53" s="51">
        <v>354</v>
      </c>
      <c r="N53" s="58">
        <f t="shared" si="7"/>
        <v>36</v>
      </c>
      <c r="O53" s="52">
        <v>18.705882352941178</v>
      </c>
      <c r="P53" s="52">
        <v>18.705882352941178</v>
      </c>
      <c r="Q53" s="5">
        <v>20</v>
      </c>
      <c r="R53">
        <f t="shared" si="9"/>
        <v>18</v>
      </c>
      <c r="S53" s="53">
        <f t="shared" si="1"/>
        <v>1</v>
      </c>
      <c r="T53" s="53">
        <f t="shared" si="3"/>
        <v>1</v>
      </c>
      <c r="U53" s="1">
        <f>SUM('Est gen ed 23 $$'!T57:V57)/113832</f>
        <v>5.0000195902733848</v>
      </c>
      <c r="V53" s="60">
        <f t="shared" si="4"/>
        <v>23.000019590273386</v>
      </c>
      <c r="W53">
        <f t="shared" si="16"/>
        <v>3</v>
      </c>
      <c r="X53">
        <v>1</v>
      </c>
      <c r="Y53" s="27">
        <f>0.75*'Est gen ed 23 pos'!CL57</f>
        <v>0.80062499999999992</v>
      </c>
      <c r="Z53" s="27">
        <f t="shared" si="6"/>
        <v>1.1993750000000001</v>
      </c>
    </row>
    <row r="54" spans="1:26" x14ac:dyDescent="0.2">
      <c r="A54" s="2">
        <v>344</v>
      </c>
      <c r="B54" s="25" t="s">
        <v>71</v>
      </c>
      <c r="C54" s="51" t="s">
        <v>7</v>
      </c>
      <c r="D54" s="53">
        <v>12</v>
      </c>
      <c r="E54" s="53">
        <v>12</v>
      </c>
      <c r="F54" s="53">
        <f t="shared" si="2"/>
        <v>0</v>
      </c>
      <c r="G54" s="53"/>
      <c r="H54" s="53"/>
      <c r="I54" s="53"/>
      <c r="J54" s="53"/>
      <c r="L54" s="51">
        <v>213</v>
      </c>
      <c r="M54" s="51">
        <v>164</v>
      </c>
      <c r="N54" s="58">
        <f t="shared" si="7"/>
        <v>-49</v>
      </c>
      <c r="O54" s="52">
        <v>17.75</v>
      </c>
      <c r="P54" s="52">
        <v>17.75</v>
      </c>
      <c r="Q54" s="5">
        <v>17</v>
      </c>
      <c r="R54">
        <f t="shared" si="9"/>
        <v>10</v>
      </c>
      <c r="S54" s="53">
        <f t="shared" si="1"/>
        <v>-2</v>
      </c>
      <c r="T54" s="53">
        <f t="shared" si="3"/>
        <v>-2</v>
      </c>
      <c r="U54" s="1">
        <f>SUM('Est gen ed 23 $$'!T58:V58)/113832</f>
        <v>5.0000195902733848</v>
      </c>
      <c r="V54" s="60">
        <f t="shared" si="4"/>
        <v>15.000019590273386</v>
      </c>
      <c r="W54">
        <f t="shared" si="16"/>
        <v>2</v>
      </c>
      <c r="X54">
        <v>1</v>
      </c>
      <c r="Y54" s="27">
        <f>0.75*'Est gen ed 23 pos'!CL58</f>
        <v>0</v>
      </c>
      <c r="Z54" s="27">
        <f t="shared" si="6"/>
        <v>1</v>
      </c>
    </row>
    <row r="55" spans="1:26" x14ac:dyDescent="0.2">
      <c r="A55" s="2">
        <v>417</v>
      </c>
      <c r="B55" s="25" t="s">
        <v>70</v>
      </c>
      <c r="C55" s="51" t="s">
        <v>19</v>
      </c>
      <c r="D55" s="53">
        <v>13.2</v>
      </c>
      <c r="E55" s="53">
        <v>14</v>
      </c>
      <c r="F55" s="53">
        <f t="shared" si="2"/>
        <v>0.80000000000000071</v>
      </c>
      <c r="G55" s="53"/>
      <c r="H55" s="53">
        <f>110/112</f>
        <v>0.9821428571428571</v>
      </c>
      <c r="I55" s="53">
        <v>1</v>
      </c>
      <c r="K55" s="53">
        <v>1.5</v>
      </c>
      <c r="L55" s="51">
        <v>246</v>
      </c>
      <c r="M55" s="51">
        <v>289</v>
      </c>
      <c r="N55" s="58">
        <f t="shared" si="7"/>
        <v>43</v>
      </c>
      <c r="O55" s="52">
        <v>18.636363636363637</v>
      </c>
      <c r="P55" s="52">
        <v>17.571428571428573</v>
      </c>
      <c r="Q55" s="5">
        <v>19</v>
      </c>
      <c r="R55">
        <f t="shared" si="9"/>
        <v>16</v>
      </c>
      <c r="S55" s="53">
        <f t="shared" si="1"/>
        <v>2.8000000000000007</v>
      </c>
      <c r="T55" s="53">
        <f t="shared" si="3"/>
        <v>2</v>
      </c>
      <c r="U55" s="1">
        <f>SUM('Est gen ed 23 $$'!T59:V59)/113832</f>
        <v>0</v>
      </c>
      <c r="V55" s="60"/>
      <c r="W55">
        <v>4</v>
      </c>
      <c r="X55">
        <v>1</v>
      </c>
      <c r="Y55" s="27">
        <f>0.75*'Est gen ed 23 pos'!CL59</f>
        <v>0.72250000000000003</v>
      </c>
      <c r="Z55" s="27">
        <f t="shared" si="6"/>
        <v>2.2774999999999999</v>
      </c>
    </row>
    <row r="56" spans="1:26" x14ac:dyDescent="0.2">
      <c r="A56" s="2">
        <v>261</v>
      </c>
      <c r="B56" s="25" t="s">
        <v>69</v>
      </c>
      <c r="C56" s="51" t="s">
        <v>7</v>
      </c>
      <c r="D56" s="53">
        <v>39</v>
      </c>
      <c r="E56" s="53">
        <v>42</v>
      </c>
      <c r="F56" s="53">
        <f t="shared" si="2"/>
        <v>3</v>
      </c>
      <c r="G56" s="53"/>
      <c r="H56" s="53"/>
      <c r="I56" s="53"/>
      <c r="J56" s="53"/>
      <c r="L56" s="51">
        <v>904</v>
      </c>
      <c r="M56" s="51">
        <v>823</v>
      </c>
      <c r="N56" s="58">
        <f t="shared" si="7"/>
        <v>-81</v>
      </c>
      <c r="O56" s="52">
        <v>23.179487179487179</v>
      </c>
      <c r="P56" s="52">
        <v>21.523809523809526</v>
      </c>
      <c r="Q56" s="5">
        <v>20</v>
      </c>
      <c r="R56">
        <f t="shared" si="9"/>
        <v>42</v>
      </c>
      <c r="S56" s="53">
        <f t="shared" si="1"/>
        <v>3</v>
      </c>
      <c r="T56" s="53">
        <f t="shared" si="3"/>
        <v>0</v>
      </c>
      <c r="U56" s="1">
        <f>SUM('Est gen ed 23 $$'!T60:V60)/113832</f>
        <v>2.0000078185396024</v>
      </c>
      <c r="V56" s="60">
        <f t="shared" si="4"/>
        <v>44.000007818539601</v>
      </c>
      <c r="W56">
        <f t="shared" ref="W56:W59" si="17">ROUNDUP(R56/8,0)</f>
        <v>6</v>
      </c>
      <c r="X56">
        <v>1</v>
      </c>
      <c r="Y56" s="27">
        <f>0.75*'Est gen ed 23 pos'!CL60</f>
        <v>1.6575</v>
      </c>
      <c r="Z56" s="27">
        <f t="shared" si="6"/>
        <v>3.3425000000000002</v>
      </c>
    </row>
    <row r="57" spans="1:26" x14ac:dyDescent="0.2">
      <c r="A57" s="2">
        <v>262</v>
      </c>
      <c r="B57" s="25" t="s">
        <v>68</v>
      </c>
      <c r="C57" s="51" t="s">
        <v>7</v>
      </c>
      <c r="D57" s="53">
        <v>15</v>
      </c>
      <c r="E57" s="53">
        <v>14</v>
      </c>
      <c r="F57" s="53">
        <f t="shared" si="2"/>
        <v>-1</v>
      </c>
      <c r="G57" s="53"/>
      <c r="H57" s="53"/>
      <c r="I57" s="53"/>
      <c r="J57" s="53"/>
      <c r="L57" s="51">
        <v>276</v>
      </c>
      <c r="M57" s="51">
        <v>277</v>
      </c>
      <c r="N57" s="58">
        <f t="shared" si="7"/>
        <v>1</v>
      </c>
      <c r="O57" s="52">
        <v>18.399999999999999</v>
      </c>
      <c r="P57" s="52">
        <v>19.714285714285715</v>
      </c>
      <c r="Q57" s="5">
        <v>19</v>
      </c>
      <c r="R57">
        <f t="shared" si="9"/>
        <v>15</v>
      </c>
      <c r="S57" s="53">
        <f t="shared" si="1"/>
        <v>0</v>
      </c>
      <c r="T57" s="53">
        <f t="shared" si="3"/>
        <v>1</v>
      </c>
      <c r="U57" s="1">
        <f>SUM('Est gen ed 23 $$'!T61:V61)/113832</f>
        <v>5.0000196781221451</v>
      </c>
      <c r="V57" s="60">
        <f t="shared" si="4"/>
        <v>20.000019678122143</v>
      </c>
      <c r="W57">
        <f t="shared" si="17"/>
        <v>2</v>
      </c>
      <c r="X57">
        <v>1</v>
      </c>
      <c r="Y57" s="27">
        <f>0.75*'Est gen ed 23 pos'!CL61</f>
        <v>0.66375000000000006</v>
      </c>
      <c r="Z57" s="27">
        <f t="shared" si="6"/>
        <v>0.33624999999999994</v>
      </c>
    </row>
    <row r="58" spans="1:26" x14ac:dyDescent="0.2">
      <c r="A58" s="2">
        <v>370</v>
      </c>
      <c r="B58" s="25" t="s">
        <v>67</v>
      </c>
      <c r="C58" s="51" t="s">
        <v>7</v>
      </c>
      <c r="D58" s="53">
        <v>10</v>
      </c>
      <c r="E58" s="53">
        <v>10</v>
      </c>
      <c r="F58" s="53">
        <f t="shared" si="2"/>
        <v>0</v>
      </c>
      <c r="G58" s="53"/>
      <c r="H58" s="53"/>
      <c r="I58" s="53"/>
      <c r="J58" s="53"/>
      <c r="L58" s="51">
        <v>225</v>
      </c>
      <c r="M58" s="51">
        <v>232</v>
      </c>
      <c r="N58" s="58">
        <f t="shared" si="7"/>
        <v>7</v>
      </c>
      <c r="O58" s="52">
        <v>22.5</v>
      </c>
      <c r="P58" s="52">
        <v>22.5</v>
      </c>
      <c r="Q58" s="5">
        <v>17</v>
      </c>
      <c r="R58">
        <f t="shared" si="9"/>
        <v>14</v>
      </c>
      <c r="S58" s="53">
        <f t="shared" si="1"/>
        <v>4</v>
      </c>
      <c r="T58" s="53">
        <f t="shared" si="3"/>
        <v>4</v>
      </c>
      <c r="U58" s="1">
        <f>SUM('Est gen ed 23 $$'!T62:V62)/113832</f>
        <v>6.0000235434675666</v>
      </c>
      <c r="V58" s="60">
        <f t="shared" si="4"/>
        <v>20.000023543467567</v>
      </c>
      <c r="W58">
        <f t="shared" si="17"/>
        <v>2</v>
      </c>
      <c r="X58">
        <v>1</v>
      </c>
      <c r="Y58" s="27">
        <f>0.75*'Est gen ed 23 pos'!CL62</f>
        <v>0.58499999999999996</v>
      </c>
      <c r="Z58" s="27">
        <f t="shared" si="6"/>
        <v>0.41500000000000004</v>
      </c>
    </row>
    <row r="59" spans="1:26" x14ac:dyDescent="0.2">
      <c r="A59" s="2">
        <v>264</v>
      </c>
      <c r="B59" s="25" t="s">
        <v>66</v>
      </c>
      <c r="C59" s="51" t="s">
        <v>7</v>
      </c>
      <c r="D59" s="53">
        <v>12</v>
      </c>
      <c r="E59" s="53">
        <v>12</v>
      </c>
      <c r="F59" s="53">
        <f t="shared" si="2"/>
        <v>0</v>
      </c>
      <c r="G59" s="53"/>
      <c r="H59" s="53"/>
      <c r="I59" s="53"/>
      <c r="J59" s="53"/>
      <c r="L59" s="51">
        <v>193</v>
      </c>
      <c r="M59" s="51">
        <v>208</v>
      </c>
      <c r="N59" s="58">
        <f t="shared" si="7"/>
        <v>15</v>
      </c>
      <c r="O59" s="52">
        <v>16.083333333333332</v>
      </c>
      <c r="P59" s="52">
        <v>16.083333333333332</v>
      </c>
      <c r="Q59" s="5">
        <v>17</v>
      </c>
      <c r="R59">
        <f t="shared" si="9"/>
        <v>13</v>
      </c>
      <c r="S59" s="53">
        <f t="shared" si="1"/>
        <v>1</v>
      </c>
      <c r="T59" s="53">
        <f t="shared" si="3"/>
        <v>1</v>
      </c>
      <c r="U59" s="1">
        <f>SUM('Est gen ed 23 $$'!T63:V63)/113832</f>
        <v>4.0000157249279642</v>
      </c>
      <c r="V59" s="60">
        <f t="shared" si="4"/>
        <v>17.000015724927962</v>
      </c>
      <c r="W59">
        <f t="shared" si="17"/>
        <v>2</v>
      </c>
      <c r="X59">
        <v>1</v>
      </c>
      <c r="Y59" s="27">
        <f>0.75*'Est gen ed 23 pos'!CL63</f>
        <v>0</v>
      </c>
      <c r="Z59" s="27">
        <f t="shared" si="6"/>
        <v>1</v>
      </c>
    </row>
    <row r="60" spans="1:26" x14ac:dyDescent="0.2">
      <c r="A60" s="2">
        <v>266</v>
      </c>
      <c r="B60" s="25" t="s">
        <v>65</v>
      </c>
      <c r="C60" s="51" t="s">
        <v>4</v>
      </c>
      <c r="D60" s="53">
        <v>21.6</v>
      </c>
      <c r="E60" s="53">
        <v>24</v>
      </c>
      <c r="F60" s="53">
        <f t="shared" si="2"/>
        <v>2.3999999999999986</v>
      </c>
      <c r="G60" s="53"/>
      <c r="H60" s="53">
        <f>217/112</f>
        <v>1.9375</v>
      </c>
      <c r="I60" s="53"/>
      <c r="K60" s="53">
        <v>1.4</v>
      </c>
      <c r="L60" s="51">
        <v>396</v>
      </c>
      <c r="M60" s="51">
        <v>361</v>
      </c>
      <c r="N60" s="58">
        <f t="shared" si="7"/>
        <v>-35</v>
      </c>
      <c r="O60" s="52">
        <v>18.333333333333332</v>
      </c>
      <c r="P60" s="52">
        <v>16.5</v>
      </c>
      <c r="Q60" s="5">
        <v>18</v>
      </c>
      <c r="R60">
        <f t="shared" si="9"/>
        <v>21</v>
      </c>
      <c r="S60" s="53">
        <f t="shared" si="1"/>
        <v>-0.60000000000000142</v>
      </c>
      <c r="T60" s="53">
        <f t="shared" si="3"/>
        <v>-3</v>
      </c>
      <c r="U60" s="1">
        <f>SUM('Est gen ed 23 $$'!T64:V64)/113832</f>
        <v>4.0000156370792048</v>
      </c>
      <c r="V60" s="60">
        <f t="shared" si="4"/>
        <v>25.000015637079205</v>
      </c>
      <c r="W60">
        <f>ROUNDUP(R60/8,0)</f>
        <v>3</v>
      </c>
      <c r="X60">
        <v>1</v>
      </c>
      <c r="Y60" s="27">
        <f>0.75*'Est gen ed 23 pos'!CL64</f>
        <v>0.78937499999999994</v>
      </c>
      <c r="Z60" s="27">
        <f t="shared" si="6"/>
        <v>1.2106250000000001</v>
      </c>
    </row>
    <row r="61" spans="1:26" x14ac:dyDescent="0.2">
      <c r="A61" s="2">
        <v>271</v>
      </c>
      <c r="B61" s="25" t="s">
        <v>64</v>
      </c>
      <c r="C61" s="51" t="s">
        <v>7</v>
      </c>
      <c r="D61" s="53">
        <v>18</v>
      </c>
      <c r="E61" s="53">
        <v>18</v>
      </c>
      <c r="F61" s="53">
        <f t="shared" si="2"/>
        <v>0</v>
      </c>
      <c r="G61" s="53"/>
      <c r="H61" s="53"/>
      <c r="I61" s="53"/>
      <c r="J61" s="53"/>
      <c r="L61" s="51">
        <v>347</v>
      </c>
      <c r="M61" s="51">
        <v>353</v>
      </c>
      <c r="N61" s="58">
        <f t="shared" si="7"/>
        <v>6</v>
      </c>
      <c r="O61" s="52">
        <v>19.277777777777779</v>
      </c>
      <c r="P61" s="52">
        <v>19.277777777777779</v>
      </c>
      <c r="Q61" s="5">
        <v>20</v>
      </c>
      <c r="R61">
        <f t="shared" si="9"/>
        <v>18</v>
      </c>
      <c r="S61" s="53">
        <f t="shared" si="1"/>
        <v>0</v>
      </c>
      <c r="T61" s="53">
        <f t="shared" si="3"/>
        <v>0</v>
      </c>
      <c r="U61" s="1">
        <f>SUM('Est gen ed 23 $$'!T65:V65)/113832</f>
        <v>6.0000235434675666</v>
      </c>
      <c r="V61" s="60">
        <f t="shared" si="4"/>
        <v>24.000023543467567</v>
      </c>
      <c r="W61">
        <f>ROUNDUP(R61/8,0)</f>
        <v>3</v>
      </c>
      <c r="X61">
        <v>1</v>
      </c>
      <c r="Y61" s="27">
        <f>0.75*'Est gen ed 23 pos'!CL65</f>
        <v>0.84562499999999996</v>
      </c>
      <c r="Z61" s="27">
        <f t="shared" si="6"/>
        <v>1.1543749999999999</v>
      </c>
    </row>
    <row r="62" spans="1:26" x14ac:dyDescent="0.2">
      <c r="A62" s="2">
        <v>884</v>
      </c>
      <c r="B62" s="25" t="s">
        <v>63</v>
      </c>
      <c r="C62" s="51" t="s">
        <v>1</v>
      </c>
      <c r="D62" s="53">
        <v>8.5</v>
      </c>
      <c r="E62" s="53">
        <v>10</v>
      </c>
      <c r="F62" s="53">
        <f t="shared" si="2"/>
        <v>1.5</v>
      </c>
      <c r="G62" s="53"/>
      <c r="H62" s="53">
        <f>64/112</f>
        <v>0.5714285714285714</v>
      </c>
      <c r="I62" s="53">
        <v>1</v>
      </c>
      <c r="K62" s="53">
        <v>1</v>
      </c>
      <c r="L62" s="51">
        <v>204</v>
      </c>
      <c r="M62" s="51">
        <v>189</v>
      </c>
      <c r="N62" s="58">
        <f t="shared" si="7"/>
        <v>-15</v>
      </c>
      <c r="O62" s="52">
        <v>24</v>
      </c>
      <c r="P62" s="52">
        <v>20.399999999999999</v>
      </c>
      <c r="Q62" s="5">
        <v>20</v>
      </c>
      <c r="R62">
        <f t="shared" si="9"/>
        <v>10</v>
      </c>
      <c r="S62" s="53">
        <f t="shared" si="1"/>
        <v>1.5</v>
      </c>
      <c r="T62" s="53">
        <f t="shared" si="3"/>
        <v>0</v>
      </c>
      <c r="U62" s="1">
        <f>SUM('Est gen ed 23 $$'!T66:V66)/113832</f>
        <v>0</v>
      </c>
      <c r="V62" s="60"/>
      <c r="W62">
        <v>4</v>
      </c>
      <c r="X62">
        <v>1</v>
      </c>
      <c r="Y62" s="27">
        <f>0.75*'Est gen ed 23 pos'!CL66</f>
        <v>0.47250000000000003</v>
      </c>
      <c r="Z62" s="27">
        <f t="shared" si="6"/>
        <v>2.5274999999999999</v>
      </c>
    </row>
    <row r="63" spans="1:26" x14ac:dyDescent="0.2">
      <c r="A63" s="2">
        <v>420</v>
      </c>
      <c r="B63" s="25" t="s">
        <v>62</v>
      </c>
      <c r="C63" s="51" t="s">
        <v>19</v>
      </c>
      <c r="D63" s="53">
        <v>32.200000000000003</v>
      </c>
      <c r="E63" s="53">
        <v>33.82959340493386</v>
      </c>
      <c r="F63" s="53">
        <f t="shared" si="2"/>
        <v>1.629593404933857</v>
      </c>
      <c r="G63" s="53"/>
      <c r="H63" s="53">
        <f>286/112</f>
        <v>2.5535714285714284</v>
      </c>
      <c r="I63" s="53"/>
      <c r="L63" s="51">
        <v>641</v>
      </c>
      <c r="M63" s="51">
        <v>587</v>
      </c>
      <c r="N63" s="58">
        <f t="shared" si="7"/>
        <v>-54</v>
      </c>
      <c r="O63" s="52">
        <v>19.906832298136646</v>
      </c>
      <c r="P63" s="52">
        <v>18.94790730492533</v>
      </c>
      <c r="Q63" s="5">
        <v>19</v>
      </c>
      <c r="R63">
        <f t="shared" si="9"/>
        <v>31</v>
      </c>
      <c r="S63" s="53">
        <f t="shared" si="1"/>
        <v>-1.2000000000000028</v>
      </c>
      <c r="T63" s="53">
        <f t="shared" si="3"/>
        <v>-2.8295934049338598</v>
      </c>
      <c r="U63" s="1">
        <f>SUM('Est gen ed 23 $$'!T67:V67)/113832</f>
        <v>0</v>
      </c>
      <c r="V63" s="60"/>
      <c r="W63">
        <v>4</v>
      </c>
      <c r="X63">
        <v>1</v>
      </c>
      <c r="Y63" s="27">
        <f>0.75*'Est gen ed 23 pos'!CL67</f>
        <v>1.4675000000000002</v>
      </c>
      <c r="Z63" s="27">
        <f t="shared" si="6"/>
        <v>1.5324999999999998</v>
      </c>
    </row>
    <row r="64" spans="1:26" x14ac:dyDescent="0.2">
      <c r="A64" s="2">
        <v>308</v>
      </c>
      <c r="B64" s="25" t="s">
        <v>61</v>
      </c>
      <c r="C64" s="51" t="s">
        <v>7</v>
      </c>
      <c r="D64" s="53">
        <v>10</v>
      </c>
      <c r="E64" s="53">
        <v>12</v>
      </c>
      <c r="F64" s="53">
        <f t="shared" si="2"/>
        <v>2</v>
      </c>
      <c r="G64" s="53">
        <v>1.1000000000000001</v>
      </c>
      <c r="H64" s="53">
        <f>104/112</f>
        <v>0.9285714285714286</v>
      </c>
      <c r="I64" s="53"/>
      <c r="K64" s="53">
        <v>0.5</v>
      </c>
      <c r="L64" s="51">
        <v>177</v>
      </c>
      <c r="M64" s="51">
        <v>150</v>
      </c>
      <c r="N64" s="58">
        <f t="shared" si="7"/>
        <v>-27</v>
      </c>
      <c r="O64" s="52">
        <v>17.7</v>
      </c>
      <c r="P64" s="52">
        <v>14.75</v>
      </c>
      <c r="Q64" s="5">
        <v>17</v>
      </c>
      <c r="R64">
        <f t="shared" si="9"/>
        <v>9</v>
      </c>
      <c r="S64" s="53">
        <f t="shared" si="1"/>
        <v>-1</v>
      </c>
      <c r="T64" s="53">
        <f t="shared" si="3"/>
        <v>-3</v>
      </c>
      <c r="U64" s="1">
        <f>SUM('Est gen ed 23 $$'!T68:V68)/113832</f>
        <v>4.0000156370792048</v>
      </c>
      <c r="V64" s="60">
        <f t="shared" si="4"/>
        <v>13.000015637079205</v>
      </c>
      <c r="W64">
        <f t="shared" ref="W64:W67" si="18">ROUNDUP(R64/8,0)</f>
        <v>2</v>
      </c>
      <c r="X64">
        <v>1</v>
      </c>
      <c r="Y64" s="27">
        <f>0.75*'Est gen ed 23 pos'!CL68</f>
        <v>0</v>
      </c>
      <c r="Z64" s="27">
        <f t="shared" si="6"/>
        <v>1</v>
      </c>
    </row>
    <row r="65" spans="1:26" x14ac:dyDescent="0.2">
      <c r="A65" s="2">
        <v>273</v>
      </c>
      <c r="B65" s="25" t="s">
        <v>60</v>
      </c>
      <c r="C65" s="51" t="s">
        <v>7</v>
      </c>
      <c r="D65" s="53">
        <v>18</v>
      </c>
      <c r="E65" s="53">
        <v>18</v>
      </c>
      <c r="F65" s="53">
        <f t="shared" si="2"/>
        <v>0</v>
      </c>
      <c r="G65" s="53"/>
      <c r="H65" s="53"/>
      <c r="I65" s="53"/>
      <c r="J65" s="53"/>
      <c r="L65" s="51">
        <v>364</v>
      </c>
      <c r="M65" s="51">
        <v>331</v>
      </c>
      <c r="N65" s="58">
        <f t="shared" si="7"/>
        <v>-33</v>
      </c>
      <c r="O65" s="52">
        <v>20.222222222222221</v>
      </c>
      <c r="P65" s="52">
        <v>20.222222222222221</v>
      </c>
      <c r="Q65" s="5">
        <v>19</v>
      </c>
      <c r="R65">
        <f t="shared" si="9"/>
        <v>18</v>
      </c>
      <c r="S65" s="53">
        <f t="shared" si="1"/>
        <v>0</v>
      </c>
      <c r="T65" s="53">
        <f t="shared" si="3"/>
        <v>0</v>
      </c>
      <c r="U65" s="1">
        <f>SUM('Est gen ed 23 $$'!T69:V69)/113832</f>
        <v>2.0000078185396024</v>
      </c>
      <c r="V65" s="60">
        <f t="shared" si="4"/>
        <v>20.000007818539601</v>
      </c>
      <c r="W65">
        <f t="shared" si="18"/>
        <v>3</v>
      </c>
      <c r="X65">
        <v>1</v>
      </c>
      <c r="Y65" s="27">
        <f>0.75*'Est gen ed 23 pos'!CL69</f>
        <v>0.68812499999999988</v>
      </c>
      <c r="Z65" s="27">
        <f t="shared" si="6"/>
        <v>1.3118750000000001</v>
      </c>
    </row>
    <row r="66" spans="1:26" x14ac:dyDescent="0.2">
      <c r="A66" s="2">
        <v>284</v>
      </c>
      <c r="B66" s="25" t="s">
        <v>59</v>
      </c>
      <c r="C66" s="51" t="s">
        <v>7</v>
      </c>
      <c r="D66" s="53">
        <v>18</v>
      </c>
      <c r="E66" s="53">
        <v>13</v>
      </c>
      <c r="F66" s="53">
        <f t="shared" si="2"/>
        <v>-5</v>
      </c>
      <c r="G66" s="53"/>
      <c r="H66" s="53"/>
      <c r="I66" s="53"/>
      <c r="J66" s="53"/>
      <c r="L66" s="51">
        <v>359</v>
      </c>
      <c r="M66" s="51">
        <v>343</v>
      </c>
      <c r="N66" s="58">
        <f t="shared" si="7"/>
        <v>-16</v>
      </c>
      <c r="O66" s="52">
        <v>19.944444444444443</v>
      </c>
      <c r="P66" s="52">
        <v>27.615384615384617</v>
      </c>
      <c r="Q66" s="5">
        <v>19</v>
      </c>
      <c r="R66">
        <f t="shared" si="9"/>
        <v>19</v>
      </c>
      <c r="S66" s="53">
        <f t="shared" ref="S66:S117" si="19">$R66-D66</f>
        <v>1</v>
      </c>
      <c r="T66" s="53">
        <f t="shared" si="3"/>
        <v>6</v>
      </c>
      <c r="U66" s="1">
        <f>SUM('Est gen ed 23 $$'!T70:V70)/113832</f>
        <v>6.0000235434675666</v>
      </c>
      <c r="V66" s="60">
        <f t="shared" si="4"/>
        <v>25.000023543467567</v>
      </c>
      <c r="W66">
        <f t="shared" si="18"/>
        <v>3</v>
      </c>
      <c r="X66">
        <v>1</v>
      </c>
      <c r="Y66" s="27">
        <f>0.75*'Est gen ed 23 pos'!CL70</f>
        <v>0.82312499999999988</v>
      </c>
      <c r="Z66" s="27">
        <f t="shared" si="6"/>
        <v>1.1768750000000001</v>
      </c>
    </row>
    <row r="67" spans="1:26" x14ac:dyDescent="0.2">
      <c r="A67" s="2">
        <v>274</v>
      </c>
      <c r="B67" s="25" t="s">
        <v>58</v>
      </c>
      <c r="C67" s="51" t="s">
        <v>7</v>
      </c>
      <c r="D67" s="53">
        <v>20</v>
      </c>
      <c r="E67" s="53">
        <v>20</v>
      </c>
      <c r="F67" s="53">
        <f t="shared" ref="F67:F117" si="20">E67-D67</f>
        <v>0</v>
      </c>
      <c r="G67" s="53"/>
      <c r="H67" s="53"/>
      <c r="I67" s="53"/>
      <c r="J67" s="53"/>
      <c r="L67" s="51">
        <v>427</v>
      </c>
      <c r="M67" s="51">
        <v>464</v>
      </c>
      <c r="N67" s="58">
        <f t="shared" si="7"/>
        <v>37</v>
      </c>
      <c r="O67" s="52">
        <v>21.35</v>
      </c>
      <c r="P67" s="52">
        <v>21.35</v>
      </c>
      <c r="Q67" s="5">
        <v>20</v>
      </c>
      <c r="R67">
        <f t="shared" si="9"/>
        <v>24</v>
      </c>
      <c r="S67" s="53">
        <f t="shared" si="19"/>
        <v>4</v>
      </c>
      <c r="T67" s="53">
        <f t="shared" ref="T67:T117" si="21">$R67-E67</f>
        <v>4</v>
      </c>
      <c r="U67" s="1">
        <f>SUM('Est gen ed 23 $$'!T71:V71)/113832</f>
        <v>5.0000195902733848</v>
      </c>
      <c r="V67" s="60">
        <f t="shared" ref="V67:V115" si="22">SUM(R67,U67)</f>
        <v>29.000019590273386</v>
      </c>
      <c r="W67">
        <f t="shared" si="18"/>
        <v>3</v>
      </c>
      <c r="X67">
        <v>1</v>
      </c>
      <c r="Y67" s="27">
        <f>0.75*'Est gen ed 23 pos'!CL71</f>
        <v>1.025625</v>
      </c>
      <c r="Z67" s="27">
        <f t="shared" ref="Z67:Z117" si="23">W67-SUM(X67:Y67)</f>
        <v>0.97437500000000021</v>
      </c>
    </row>
    <row r="68" spans="1:26" x14ac:dyDescent="0.2">
      <c r="A68" s="2">
        <v>435</v>
      </c>
      <c r="B68" s="25" t="s">
        <v>57</v>
      </c>
      <c r="C68" s="51" t="s">
        <v>19</v>
      </c>
      <c r="D68" s="53">
        <v>15.5</v>
      </c>
      <c r="E68" s="53">
        <v>15</v>
      </c>
      <c r="F68" s="53">
        <f t="shared" si="20"/>
        <v>-0.5</v>
      </c>
      <c r="G68" s="53"/>
      <c r="H68" s="53">
        <f>94/112</f>
        <v>0.8392857142857143</v>
      </c>
      <c r="I68" s="53"/>
      <c r="K68" s="53">
        <v>1</v>
      </c>
      <c r="L68" s="51">
        <v>300</v>
      </c>
      <c r="M68" s="51">
        <v>281</v>
      </c>
      <c r="N68" s="58">
        <f t="shared" ref="N68:N117" si="24">M68-L68</f>
        <v>-19</v>
      </c>
      <c r="O68" s="52">
        <v>19.35483870967742</v>
      </c>
      <c r="P68" s="52">
        <v>20</v>
      </c>
      <c r="Q68" s="5">
        <v>19</v>
      </c>
      <c r="R68">
        <f t="shared" si="9"/>
        <v>15</v>
      </c>
      <c r="S68" s="53">
        <f t="shared" si="19"/>
        <v>-0.5</v>
      </c>
      <c r="T68" s="53">
        <f t="shared" si="21"/>
        <v>0</v>
      </c>
      <c r="U68" s="1">
        <f>SUM('Est gen ed 23 $$'!T72:V72)/113832</f>
        <v>0</v>
      </c>
      <c r="V68" s="60"/>
      <c r="W68">
        <v>4</v>
      </c>
      <c r="X68">
        <v>1</v>
      </c>
      <c r="Y68" s="27">
        <f>0.75*'Est gen ed 23 pos'!CL72</f>
        <v>0.70250000000000001</v>
      </c>
      <c r="Z68" s="27">
        <f t="shared" si="23"/>
        <v>2.2974999999999999</v>
      </c>
    </row>
    <row r="69" spans="1:26" x14ac:dyDescent="0.2">
      <c r="A69" s="2">
        <v>458</v>
      </c>
      <c r="B69" s="25" t="s">
        <v>56</v>
      </c>
      <c r="C69" s="51" t="s">
        <v>1</v>
      </c>
      <c r="D69" s="53">
        <v>29.1</v>
      </c>
      <c r="E69" s="53">
        <v>35</v>
      </c>
      <c r="F69" s="53">
        <f t="shared" si="20"/>
        <v>5.8999999999999986</v>
      </c>
      <c r="G69" s="53"/>
      <c r="H69" s="53">
        <f>218/112</f>
        <v>1.9464285714285714</v>
      </c>
      <c r="I69" s="53">
        <v>1</v>
      </c>
      <c r="J69" s="1">
        <v>1680585</v>
      </c>
      <c r="L69" s="51">
        <v>696</v>
      </c>
      <c r="M69" s="51">
        <v>702</v>
      </c>
      <c r="N69" s="58">
        <f t="shared" si="24"/>
        <v>6</v>
      </c>
      <c r="O69" s="54" t="s">
        <v>34</v>
      </c>
      <c r="P69" s="52">
        <v>19.885714285714286</v>
      </c>
      <c r="Q69" s="5">
        <v>17</v>
      </c>
      <c r="R69">
        <f t="shared" si="9"/>
        <v>42</v>
      </c>
      <c r="S69" s="53">
        <f t="shared" si="19"/>
        <v>12.899999999999999</v>
      </c>
      <c r="T69" s="53">
        <f t="shared" si="21"/>
        <v>7</v>
      </c>
      <c r="U69" s="1">
        <f>SUM('Est gen ed 23 $$'!T73:V73)/113832</f>
        <v>0</v>
      </c>
      <c r="V69" s="60"/>
      <c r="W69">
        <v>4</v>
      </c>
      <c r="X69">
        <v>1</v>
      </c>
      <c r="Y69" s="27">
        <f>0.75*'Est gen ed 23 pos'!CL73</f>
        <v>1.7549999999999999</v>
      </c>
      <c r="Z69" s="27">
        <f t="shared" si="23"/>
        <v>1.2450000000000001</v>
      </c>
    </row>
    <row r="70" spans="1:26" x14ac:dyDescent="0.2">
      <c r="A70" s="2">
        <v>1165</v>
      </c>
      <c r="B70" s="25" t="s">
        <v>55</v>
      </c>
      <c r="C70" s="51" t="s">
        <v>243</v>
      </c>
      <c r="D70" s="54" t="s">
        <v>34</v>
      </c>
      <c r="E70" s="53">
        <v>0</v>
      </c>
      <c r="F70" s="54" t="s">
        <v>34</v>
      </c>
      <c r="G70" s="54"/>
      <c r="H70" s="54"/>
      <c r="I70" s="54"/>
      <c r="J70" s="54"/>
      <c r="L70" s="51">
        <v>0</v>
      </c>
      <c r="M70" s="51">
        <v>0</v>
      </c>
      <c r="N70" s="58">
        <f t="shared" si="24"/>
        <v>0</v>
      </c>
      <c r="O70" s="54" t="s">
        <v>34</v>
      </c>
      <c r="Q70" s="54" t="s">
        <v>34</v>
      </c>
      <c r="R70" s="54" t="s">
        <v>34</v>
      </c>
      <c r="S70" s="54" t="s">
        <v>34</v>
      </c>
      <c r="T70" s="54" t="s">
        <v>34</v>
      </c>
      <c r="U70" s="1">
        <f>SUM('Est gen ed 23 $$'!T74:V74)/113832</f>
        <v>4.0000156370792048</v>
      </c>
      <c r="V70" s="60">
        <f t="shared" si="22"/>
        <v>4.0000156370792048</v>
      </c>
      <c r="X70">
        <v>1</v>
      </c>
      <c r="Y70" s="27">
        <f>0.75*'Est gen ed 23 pos'!CL74</f>
        <v>0</v>
      </c>
      <c r="Z70" s="27">
        <f t="shared" si="23"/>
        <v>-1</v>
      </c>
    </row>
    <row r="71" spans="1:26" x14ac:dyDescent="0.2">
      <c r="A71" s="2">
        <v>280</v>
      </c>
      <c r="B71" s="25" t="s">
        <v>54</v>
      </c>
      <c r="C71" s="51" t="s">
        <v>7</v>
      </c>
      <c r="D71" s="53">
        <v>15</v>
      </c>
      <c r="E71" s="53">
        <v>15</v>
      </c>
      <c r="F71" s="53">
        <f t="shared" si="20"/>
        <v>0</v>
      </c>
      <c r="G71" s="53"/>
      <c r="H71" s="53"/>
      <c r="I71" s="53"/>
      <c r="J71" s="53"/>
      <c r="L71" s="51">
        <v>309</v>
      </c>
      <c r="M71" s="51">
        <v>283</v>
      </c>
      <c r="N71" s="58">
        <f t="shared" si="24"/>
        <v>-26</v>
      </c>
      <c r="O71" s="52">
        <v>20.6</v>
      </c>
      <c r="P71" s="52">
        <v>20.6</v>
      </c>
      <c r="Q71" s="5">
        <v>19</v>
      </c>
      <c r="R71">
        <f t="shared" si="9"/>
        <v>15</v>
      </c>
      <c r="S71" s="53">
        <f t="shared" si="19"/>
        <v>0</v>
      </c>
      <c r="T71" s="53">
        <f t="shared" si="21"/>
        <v>0</v>
      </c>
      <c r="U71" s="1">
        <f>SUM('Est gen ed 23 $$'!T75:V75)/113832</f>
        <v>8.000031362007169</v>
      </c>
      <c r="V71" s="60">
        <f t="shared" si="22"/>
        <v>23.000031362007171</v>
      </c>
      <c r="W71">
        <f t="shared" ref="W71:W75" si="25">ROUNDUP(R71/8,0)</f>
        <v>2</v>
      </c>
      <c r="X71">
        <v>1</v>
      </c>
      <c r="Y71" s="27">
        <f>0.75*'Est gen ed 23 pos'!CL75</f>
        <v>0.74062500000000009</v>
      </c>
      <c r="Z71" s="27">
        <f t="shared" si="23"/>
        <v>0.25937499999999991</v>
      </c>
    </row>
    <row r="72" spans="1:26" x14ac:dyDescent="0.2">
      <c r="A72" s="2">
        <v>285</v>
      </c>
      <c r="B72" s="25" t="s">
        <v>53</v>
      </c>
      <c r="C72" s="51" t="s">
        <v>7</v>
      </c>
      <c r="D72" s="53">
        <v>9</v>
      </c>
      <c r="E72" s="53">
        <v>10</v>
      </c>
      <c r="F72" s="53">
        <f t="shared" si="20"/>
        <v>1</v>
      </c>
      <c r="G72" s="53"/>
      <c r="H72" s="53">
        <f>106/112</f>
        <v>0.9464285714285714</v>
      </c>
      <c r="I72" s="53">
        <v>1</v>
      </c>
      <c r="L72" s="51">
        <v>165</v>
      </c>
      <c r="M72" s="51">
        <v>143</v>
      </c>
      <c r="N72" s="58">
        <f t="shared" si="24"/>
        <v>-22</v>
      </c>
      <c r="O72" s="52">
        <v>18.333333333333332</v>
      </c>
      <c r="P72" s="52">
        <v>16.5</v>
      </c>
      <c r="Q72" s="5">
        <v>17</v>
      </c>
      <c r="R72">
        <f t="shared" si="9"/>
        <v>9</v>
      </c>
      <c r="S72" s="53">
        <f t="shared" si="19"/>
        <v>0</v>
      </c>
      <c r="T72" s="53">
        <f t="shared" si="21"/>
        <v>-1</v>
      </c>
      <c r="U72" s="1">
        <f>SUM('Est gen ed 23 $$'!T76:V76)/113832</f>
        <v>5.0000195902733848</v>
      </c>
      <c r="V72" s="60">
        <f t="shared" si="22"/>
        <v>14.000019590273386</v>
      </c>
      <c r="W72">
        <f t="shared" si="25"/>
        <v>2</v>
      </c>
      <c r="X72">
        <v>1</v>
      </c>
      <c r="Y72" s="27">
        <f>0.75*'Est gen ed 23 pos'!CL76</f>
        <v>0</v>
      </c>
      <c r="Z72" s="27">
        <f t="shared" si="23"/>
        <v>1</v>
      </c>
    </row>
    <row r="73" spans="1:26" x14ac:dyDescent="0.2">
      <c r="A73" s="2">
        <v>287</v>
      </c>
      <c r="B73" s="25" t="s">
        <v>52</v>
      </c>
      <c r="C73" s="51" t="s">
        <v>7</v>
      </c>
      <c r="D73" s="53">
        <v>25</v>
      </c>
      <c r="E73" s="53">
        <v>24</v>
      </c>
      <c r="F73" s="53">
        <f t="shared" si="20"/>
        <v>-1</v>
      </c>
      <c r="G73" s="53"/>
      <c r="H73" s="53"/>
      <c r="I73" s="53"/>
      <c r="J73" s="53"/>
      <c r="L73" s="51">
        <v>556</v>
      </c>
      <c r="M73" s="51">
        <v>559</v>
      </c>
      <c r="N73" s="58">
        <f t="shared" si="24"/>
        <v>3</v>
      </c>
      <c r="O73" s="52">
        <v>22.24</v>
      </c>
      <c r="P73" s="52">
        <v>23.166666666666668</v>
      </c>
      <c r="Q73" s="5">
        <v>20</v>
      </c>
      <c r="R73">
        <f t="shared" si="9"/>
        <v>28</v>
      </c>
      <c r="S73" s="53">
        <f t="shared" si="19"/>
        <v>3</v>
      </c>
      <c r="T73" s="53">
        <f t="shared" si="21"/>
        <v>4</v>
      </c>
      <c r="U73" s="1">
        <f>SUM('Est gen ed 23 $$'!T77:V77)/113832</f>
        <v>3.0000117717337833</v>
      </c>
      <c r="V73" s="60">
        <f t="shared" si="22"/>
        <v>31.000011771733782</v>
      </c>
      <c r="W73">
        <f t="shared" si="25"/>
        <v>4</v>
      </c>
      <c r="X73">
        <v>1</v>
      </c>
      <c r="Y73" s="27">
        <f>0.75*'Est gen ed 23 pos'!CL77</f>
        <v>1.16625</v>
      </c>
      <c r="Z73" s="27">
        <f t="shared" si="23"/>
        <v>1.8337500000000002</v>
      </c>
    </row>
    <row r="74" spans="1:26" x14ac:dyDescent="0.2">
      <c r="A74" s="2">
        <v>288</v>
      </c>
      <c r="B74" s="25" t="s">
        <v>51</v>
      </c>
      <c r="C74" s="51" t="s">
        <v>7</v>
      </c>
      <c r="D74" s="53">
        <v>12</v>
      </c>
      <c r="E74" s="53">
        <v>14</v>
      </c>
      <c r="F74" s="53">
        <f t="shared" si="20"/>
        <v>2</v>
      </c>
      <c r="G74" s="53"/>
      <c r="H74" s="53">
        <f>145/112</f>
        <v>1.2946428571428572</v>
      </c>
      <c r="I74" s="53"/>
      <c r="L74" s="51">
        <v>235</v>
      </c>
      <c r="M74" s="51">
        <v>225</v>
      </c>
      <c r="N74" s="58">
        <f t="shared" si="24"/>
        <v>-10</v>
      </c>
      <c r="O74" s="52">
        <v>19.583333333333332</v>
      </c>
      <c r="P74" s="52">
        <v>16.785714285714285</v>
      </c>
      <c r="Q74" s="5">
        <v>17</v>
      </c>
      <c r="R74">
        <f t="shared" si="9"/>
        <v>14</v>
      </c>
      <c r="S74" s="53">
        <f t="shared" si="19"/>
        <v>2</v>
      </c>
      <c r="T74" s="53">
        <f t="shared" si="21"/>
        <v>0</v>
      </c>
      <c r="U74" s="1">
        <f>SUM('Est gen ed 23 $$'!T78:V78)/113832</f>
        <v>6.0000235434675666</v>
      </c>
      <c r="V74" s="60">
        <f t="shared" si="22"/>
        <v>20.000023543467567</v>
      </c>
      <c r="W74">
        <f t="shared" si="25"/>
        <v>2</v>
      </c>
      <c r="X74">
        <v>1</v>
      </c>
      <c r="Y74" s="27">
        <f>0.75*'Est gen ed 23 pos'!CL78</f>
        <v>0.57937499999999997</v>
      </c>
      <c r="Z74" s="27">
        <f t="shared" si="23"/>
        <v>0.42062500000000003</v>
      </c>
    </row>
    <row r="75" spans="1:26" x14ac:dyDescent="0.2">
      <c r="A75" s="2">
        <v>290</v>
      </c>
      <c r="B75" s="25" t="s">
        <v>50</v>
      </c>
      <c r="C75" s="51" t="s">
        <v>7</v>
      </c>
      <c r="D75" s="53">
        <v>10</v>
      </c>
      <c r="E75" s="53">
        <v>10</v>
      </c>
      <c r="F75" s="53">
        <f t="shared" si="20"/>
        <v>0</v>
      </c>
      <c r="G75" s="53"/>
      <c r="H75" s="53"/>
      <c r="I75" s="53"/>
      <c r="J75" s="53"/>
      <c r="L75" s="51">
        <v>175</v>
      </c>
      <c r="M75" s="51">
        <v>215</v>
      </c>
      <c r="N75" s="58">
        <f t="shared" si="24"/>
        <v>40</v>
      </c>
      <c r="O75" s="52">
        <v>17.5</v>
      </c>
      <c r="P75" s="52">
        <v>17.5</v>
      </c>
      <c r="Q75" s="5">
        <v>17</v>
      </c>
      <c r="R75">
        <f t="shared" ref="R75:R117" si="26">ROUNDUP(M75/Q75,0)</f>
        <v>13</v>
      </c>
      <c r="S75" s="53">
        <f t="shared" si="19"/>
        <v>3</v>
      </c>
      <c r="T75" s="53">
        <f t="shared" si="21"/>
        <v>3</v>
      </c>
      <c r="U75" s="1">
        <f>SUM('Est gen ed 23 $$'!T79:V79)/113832</f>
        <v>4.0000157249279642</v>
      </c>
      <c r="V75" s="60">
        <f t="shared" si="22"/>
        <v>17.000015724927962</v>
      </c>
      <c r="W75">
        <f t="shared" si="25"/>
        <v>2</v>
      </c>
      <c r="X75">
        <v>1</v>
      </c>
      <c r="Y75" s="27">
        <f>0.75*'Est gen ed 23 pos'!CL79</f>
        <v>0</v>
      </c>
      <c r="Z75" s="27">
        <f t="shared" si="23"/>
        <v>1</v>
      </c>
    </row>
    <row r="76" spans="1:26" x14ac:dyDescent="0.2">
      <c r="A76" s="2">
        <v>292</v>
      </c>
      <c r="B76" s="25" t="s">
        <v>49</v>
      </c>
      <c r="C76" s="51" t="s">
        <v>4</v>
      </c>
      <c r="D76" s="53">
        <v>37.200000000000003</v>
      </c>
      <c r="E76" s="53">
        <v>40</v>
      </c>
      <c r="F76" s="53">
        <f t="shared" si="20"/>
        <v>2.7999999999999972</v>
      </c>
      <c r="G76" s="53"/>
      <c r="H76" s="53"/>
      <c r="I76" s="53"/>
      <c r="J76" s="1">
        <v>500000</v>
      </c>
      <c r="K76" s="53">
        <v>3</v>
      </c>
      <c r="L76" s="51">
        <v>722</v>
      </c>
      <c r="M76" s="51">
        <v>716</v>
      </c>
      <c r="N76" s="58">
        <f t="shared" si="24"/>
        <v>-6</v>
      </c>
      <c r="O76" s="52">
        <v>19.408602150537632</v>
      </c>
      <c r="P76" s="52">
        <v>18.05</v>
      </c>
      <c r="Q76" s="5">
        <v>19</v>
      </c>
      <c r="R76">
        <f t="shared" si="26"/>
        <v>38</v>
      </c>
      <c r="S76" s="53">
        <f t="shared" si="19"/>
        <v>0.79999999999999716</v>
      </c>
      <c r="T76" s="53">
        <f t="shared" si="21"/>
        <v>-2</v>
      </c>
      <c r="U76" s="1">
        <f>SUM('Est gen ed 23 $$'!T80:V80)/113832</f>
        <v>2.0000078185396024</v>
      </c>
      <c r="V76" s="60">
        <f t="shared" si="22"/>
        <v>40.000007818539601</v>
      </c>
      <c r="W76">
        <f>ROUNDUP(R76/8,0)</f>
        <v>5</v>
      </c>
      <c r="X76">
        <v>1</v>
      </c>
      <c r="Y76" s="27">
        <f>0.75*'Est gen ed 23 pos'!CL80</f>
        <v>1.4156249999999999</v>
      </c>
      <c r="Z76" s="27">
        <f t="shared" si="23"/>
        <v>2.5843750000000001</v>
      </c>
    </row>
    <row r="77" spans="1:26" x14ac:dyDescent="0.2">
      <c r="A77" s="2">
        <v>294</v>
      </c>
      <c r="B77" s="25" t="s">
        <v>48</v>
      </c>
      <c r="C77" s="51" t="s">
        <v>7</v>
      </c>
      <c r="D77" s="53">
        <v>12</v>
      </c>
      <c r="E77" s="53">
        <v>17</v>
      </c>
      <c r="F77" s="53">
        <f t="shared" si="20"/>
        <v>5</v>
      </c>
      <c r="G77" s="53"/>
      <c r="H77" s="53">
        <f>140/112</f>
        <v>1.25</v>
      </c>
      <c r="I77" s="53">
        <v>1</v>
      </c>
      <c r="L77" s="51">
        <v>247</v>
      </c>
      <c r="M77" s="51">
        <v>210</v>
      </c>
      <c r="N77" s="58">
        <f t="shared" si="24"/>
        <v>-37</v>
      </c>
      <c r="O77" s="52">
        <v>20.583333333333332</v>
      </c>
      <c r="P77" s="52">
        <v>14.529411764705882</v>
      </c>
      <c r="Q77" s="5">
        <v>17</v>
      </c>
      <c r="R77">
        <f t="shared" si="26"/>
        <v>13</v>
      </c>
      <c r="S77" s="53">
        <f t="shared" si="19"/>
        <v>1</v>
      </c>
      <c r="T77" s="53">
        <f t="shared" si="21"/>
        <v>-4</v>
      </c>
      <c r="U77" s="1">
        <f>SUM('Est gen ed 23 $$'!T81:V81)/113832</f>
        <v>4.0000156370792048</v>
      </c>
      <c r="V77" s="60">
        <f t="shared" si="22"/>
        <v>17.000015637079205</v>
      </c>
      <c r="W77">
        <f t="shared" ref="W77:W78" si="27">ROUNDUP(R77/8,0)</f>
        <v>2</v>
      </c>
      <c r="X77">
        <v>1</v>
      </c>
      <c r="Y77" s="27">
        <f>0.75*'Est gen ed 23 pos'!CL81</f>
        <v>0</v>
      </c>
      <c r="Z77" s="27">
        <f t="shared" si="23"/>
        <v>1</v>
      </c>
    </row>
    <row r="78" spans="1:26" x14ac:dyDescent="0.2">
      <c r="A78" s="2">
        <v>295</v>
      </c>
      <c r="B78" s="25" t="s">
        <v>47</v>
      </c>
      <c r="C78" s="51" t="s">
        <v>7</v>
      </c>
      <c r="D78" s="53">
        <v>11</v>
      </c>
      <c r="E78" s="53">
        <v>11</v>
      </c>
      <c r="F78" s="53">
        <f t="shared" si="20"/>
        <v>0</v>
      </c>
      <c r="G78" s="53"/>
      <c r="H78" s="53"/>
      <c r="I78" s="53"/>
      <c r="J78" s="53"/>
      <c r="L78" s="51">
        <v>241</v>
      </c>
      <c r="M78" s="51">
        <v>227</v>
      </c>
      <c r="N78" s="58">
        <f t="shared" si="24"/>
        <v>-14</v>
      </c>
      <c r="O78" s="52">
        <v>21.90909090909091</v>
      </c>
      <c r="P78" s="52">
        <v>21.90909090909091</v>
      </c>
      <c r="Q78" s="5">
        <v>17</v>
      </c>
      <c r="R78">
        <f t="shared" si="26"/>
        <v>14</v>
      </c>
      <c r="S78" s="53">
        <f t="shared" si="19"/>
        <v>3</v>
      </c>
      <c r="T78" s="53">
        <f t="shared" si="21"/>
        <v>3</v>
      </c>
      <c r="U78" s="1">
        <f>SUM('Est gen ed 23 $$'!T82:V82)/113832</f>
        <v>5.0000195902733848</v>
      </c>
      <c r="V78" s="60">
        <f t="shared" si="22"/>
        <v>19.000019590273386</v>
      </c>
      <c r="W78">
        <f t="shared" si="27"/>
        <v>2</v>
      </c>
      <c r="X78">
        <v>1</v>
      </c>
      <c r="Y78" s="27">
        <f>0.75*'Est gen ed 23 pos'!CL82</f>
        <v>0.57750000000000001</v>
      </c>
      <c r="Z78" s="27">
        <f t="shared" si="23"/>
        <v>0.42249999999999988</v>
      </c>
    </row>
    <row r="79" spans="1:26" x14ac:dyDescent="0.2">
      <c r="A79" s="2">
        <v>301</v>
      </c>
      <c r="B79" s="25" t="s">
        <v>46</v>
      </c>
      <c r="C79" s="51" t="s">
        <v>243</v>
      </c>
      <c r="D79" s="53">
        <v>4</v>
      </c>
      <c r="E79" s="53">
        <v>0</v>
      </c>
      <c r="F79" s="53">
        <f t="shared" si="20"/>
        <v>-4</v>
      </c>
      <c r="G79" s="53"/>
      <c r="H79" s="53"/>
      <c r="I79" s="53"/>
      <c r="J79" s="53"/>
      <c r="L79" s="51">
        <v>81</v>
      </c>
      <c r="M79" s="51">
        <v>72</v>
      </c>
      <c r="N79" s="58">
        <f t="shared" si="24"/>
        <v>-9</v>
      </c>
      <c r="O79" s="52">
        <v>20.25</v>
      </c>
      <c r="P79" s="52">
        <v>20.25</v>
      </c>
      <c r="Q79" s="5">
        <v>20</v>
      </c>
      <c r="R79">
        <f t="shared" si="26"/>
        <v>4</v>
      </c>
      <c r="S79" s="53">
        <f t="shared" si="19"/>
        <v>0</v>
      </c>
      <c r="T79" s="53">
        <f t="shared" si="21"/>
        <v>4</v>
      </c>
      <c r="U79" s="1">
        <f>SUM('Est gen ed 23 $$'!T83:V83)/113832</f>
        <v>8.0000312741584096</v>
      </c>
      <c r="V79" s="60">
        <f t="shared" si="22"/>
        <v>12.00003127415841</v>
      </c>
      <c r="W79">
        <f>ROUNDUP(R79/8,0)</f>
        <v>1</v>
      </c>
      <c r="X79">
        <v>1</v>
      </c>
      <c r="Y79" s="27">
        <f>0.75*'Est gen ed 23 pos'!CL83</f>
        <v>0</v>
      </c>
      <c r="Z79" s="27">
        <f t="shared" si="23"/>
        <v>0</v>
      </c>
    </row>
    <row r="80" spans="1:26" x14ac:dyDescent="0.2">
      <c r="A80" s="2">
        <v>478</v>
      </c>
      <c r="B80" s="25" t="s">
        <v>45</v>
      </c>
      <c r="C80" s="51" t="s">
        <v>1</v>
      </c>
      <c r="D80" s="53">
        <v>16.899999999999999</v>
      </c>
      <c r="E80" s="53">
        <v>19</v>
      </c>
      <c r="F80" s="53">
        <f t="shared" si="20"/>
        <v>2.1000000000000014</v>
      </c>
      <c r="G80" s="53"/>
      <c r="H80" s="53">
        <f>136/112</f>
        <v>1.2142857142857142</v>
      </c>
      <c r="I80" s="53">
        <v>0.6</v>
      </c>
      <c r="K80" s="53">
        <v>2</v>
      </c>
      <c r="L80" s="51">
        <v>306</v>
      </c>
      <c r="M80" s="51">
        <v>352</v>
      </c>
      <c r="N80" s="58">
        <f t="shared" si="24"/>
        <v>46</v>
      </c>
      <c r="O80" s="52">
        <v>18.106508875739646</v>
      </c>
      <c r="P80" s="52">
        <v>16.105263157894736</v>
      </c>
      <c r="Q80" s="5">
        <v>17</v>
      </c>
      <c r="R80">
        <f t="shared" si="26"/>
        <v>21</v>
      </c>
      <c r="S80" s="53">
        <f t="shared" si="19"/>
        <v>4.1000000000000014</v>
      </c>
      <c r="T80" s="53">
        <f t="shared" si="21"/>
        <v>2</v>
      </c>
      <c r="U80" s="1">
        <f>SUM('Est gen ed 23 $$'!T84:V84)/113832</f>
        <v>0</v>
      </c>
      <c r="V80" s="60"/>
      <c r="W80">
        <v>4</v>
      </c>
      <c r="X80">
        <v>1</v>
      </c>
      <c r="Y80" s="27">
        <f>0.75*'Est gen ed 23 pos'!CL84</f>
        <v>0.88</v>
      </c>
      <c r="Z80" s="27">
        <f t="shared" si="23"/>
        <v>2.12</v>
      </c>
    </row>
    <row r="81" spans="1:26" x14ac:dyDescent="0.2">
      <c r="A81" s="2">
        <v>299</v>
      </c>
      <c r="B81" s="25" t="s">
        <v>44</v>
      </c>
      <c r="C81" s="51" t="s">
        <v>7</v>
      </c>
      <c r="D81" s="53">
        <v>9</v>
      </c>
      <c r="E81" s="53">
        <v>11</v>
      </c>
      <c r="F81" s="53">
        <f t="shared" si="20"/>
        <v>2</v>
      </c>
      <c r="G81" s="53"/>
      <c r="H81" s="53">
        <f>106/112</f>
        <v>0.9464285714285714</v>
      </c>
      <c r="I81" s="53">
        <v>1</v>
      </c>
      <c r="K81" s="53">
        <v>1.4</v>
      </c>
      <c r="L81" s="51">
        <v>175</v>
      </c>
      <c r="M81" s="51">
        <v>157</v>
      </c>
      <c r="N81" s="58">
        <f t="shared" si="24"/>
        <v>-18</v>
      </c>
      <c r="O81" s="52">
        <v>19.444444444444443</v>
      </c>
      <c r="P81" s="52">
        <v>15.909090909090908</v>
      </c>
      <c r="Q81" s="5">
        <v>17</v>
      </c>
      <c r="R81">
        <f t="shared" si="26"/>
        <v>10</v>
      </c>
      <c r="S81" s="53">
        <f t="shared" si="19"/>
        <v>1</v>
      </c>
      <c r="T81" s="53">
        <f t="shared" si="21"/>
        <v>-1</v>
      </c>
      <c r="U81" s="1">
        <f>SUM('Est gen ed 23 $$'!T85:V85)/113832</f>
        <v>4.0000156370792048</v>
      </c>
      <c r="V81" s="60">
        <f t="shared" si="22"/>
        <v>14.000015637079205</v>
      </c>
      <c r="W81">
        <f t="shared" ref="W81:W84" si="28">ROUNDUP(R81/8,0)</f>
        <v>2</v>
      </c>
      <c r="X81">
        <v>1</v>
      </c>
      <c r="Y81" s="27">
        <f>0.75*'Est gen ed 23 pos'!CL85</f>
        <v>0</v>
      </c>
      <c r="Z81" s="27">
        <f t="shared" si="23"/>
        <v>1</v>
      </c>
    </row>
    <row r="82" spans="1:26" x14ac:dyDescent="0.2">
      <c r="A82" s="2">
        <v>300</v>
      </c>
      <c r="B82" s="25" t="s">
        <v>43</v>
      </c>
      <c r="C82" s="51" t="s">
        <v>7</v>
      </c>
      <c r="D82" s="53">
        <v>22</v>
      </c>
      <c r="E82" s="53">
        <v>20</v>
      </c>
      <c r="F82" s="53">
        <f t="shared" si="20"/>
        <v>-2</v>
      </c>
      <c r="G82" s="53"/>
      <c r="H82" s="53"/>
      <c r="I82" s="53"/>
      <c r="J82" s="53"/>
      <c r="L82" s="51">
        <v>433</v>
      </c>
      <c r="M82" s="51">
        <v>421</v>
      </c>
      <c r="N82" s="58">
        <f t="shared" si="24"/>
        <v>-12</v>
      </c>
      <c r="O82" s="52">
        <v>19.681818181818183</v>
      </c>
      <c r="P82" s="52">
        <v>21.65</v>
      </c>
      <c r="Q82" s="5">
        <v>20</v>
      </c>
      <c r="R82">
        <f t="shared" si="26"/>
        <v>22</v>
      </c>
      <c r="S82" s="53">
        <f t="shared" si="19"/>
        <v>0</v>
      </c>
      <c r="T82" s="53">
        <f t="shared" si="21"/>
        <v>2</v>
      </c>
      <c r="U82" s="1">
        <f>SUM('Est gen ed 23 $$'!T86:V86)/113832</f>
        <v>5.0000195902733848</v>
      </c>
      <c r="V82" s="60">
        <f t="shared" si="22"/>
        <v>27.000019590273386</v>
      </c>
      <c r="W82">
        <f t="shared" si="28"/>
        <v>3</v>
      </c>
      <c r="X82">
        <v>1</v>
      </c>
      <c r="Y82" s="27">
        <f>0.75*'Est gen ed 23 pos'!CL86</f>
        <v>0.93937499999999996</v>
      </c>
      <c r="Z82" s="27">
        <f t="shared" si="23"/>
        <v>1.0606249999999999</v>
      </c>
    </row>
    <row r="83" spans="1:26" x14ac:dyDescent="0.2">
      <c r="A83" s="2">
        <v>316</v>
      </c>
      <c r="B83" s="25" t="s">
        <v>42</v>
      </c>
      <c r="C83" s="51" t="s">
        <v>7</v>
      </c>
      <c r="D83" s="53">
        <v>12</v>
      </c>
      <c r="E83" s="53">
        <v>12</v>
      </c>
      <c r="F83" s="53">
        <f t="shared" si="20"/>
        <v>0</v>
      </c>
      <c r="G83" s="53"/>
      <c r="H83" s="53"/>
      <c r="I83" s="53"/>
      <c r="J83" s="53"/>
      <c r="L83" s="51">
        <v>252</v>
      </c>
      <c r="M83" s="51">
        <v>220</v>
      </c>
      <c r="N83" s="58">
        <f t="shared" si="24"/>
        <v>-32</v>
      </c>
      <c r="O83" s="52">
        <v>21</v>
      </c>
      <c r="P83" s="52">
        <v>21</v>
      </c>
      <c r="Q83" s="5">
        <v>17</v>
      </c>
      <c r="R83">
        <f t="shared" si="26"/>
        <v>13</v>
      </c>
      <c r="S83" s="53">
        <f t="shared" si="19"/>
        <v>1</v>
      </c>
      <c r="T83" s="53">
        <f t="shared" si="21"/>
        <v>1</v>
      </c>
      <c r="U83" s="1">
        <f>SUM('Est gen ed 23 $$'!T87:V87)/113832</f>
        <v>6.0000235434675666</v>
      </c>
      <c r="V83" s="60">
        <f t="shared" si="22"/>
        <v>19.000023543467567</v>
      </c>
      <c r="W83">
        <f t="shared" si="28"/>
        <v>2</v>
      </c>
      <c r="X83">
        <v>1</v>
      </c>
      <c r="Y83" s="27">
        <f>0.75*'Est gen ed 23 pos'!CL87</f>
        <v>0.57000000000000006</v>
      </c>
      <c r="Z83" s="27">
        <f t="shared" si="23"/>
        <v>0.42999999999999994</v>
      </c>
    </row>
    <row r="84" spans="1:26" x14ac:dyDescent="0.2">
      <c r="A84" s="2">
        <v>302</v>
      </c>
      <c r="B84" s="25" t="s">
        <v>41</v>
      </c>
      <c r="C84" s="51" t="s">
        <v>7</v>
      </c>
      <c r="D84" s="53">
        <v>20</v>
      </c>
      <c r="E84" s="53">
        <v>18</v>
      </c>
      <c r="F84" s="53">
        <f t="shared" si="20"/>
        <v>-2</v>
      </c>
      <c r="G84" s="53"/>
      <c r="H84" s="53"/>
      <c r="I84" s="53"/>
      <c r="J84" s="53"/>
      <c r="L84" s="51">
        <v>371</v>
      </c>
      <c r="M84" s="51">
        <v>304</v>
      </c>
      <c r="N84" s="58">
        <f t="shared" si="24"/>
        <v>-67</v>
      </c>
      <c r="O84" s="52">
        <v>18.55</v>
      </c>
      <c r="P84" s="52">
        <v>20.611111111111111</v>
      </c>
      <c r="Q84" s="5">
        <v>19</v>
      </c>
      <c r="R84">
        <f t="shared" si="26"/>
        <v>16</v>
      </c>
      <c r="S84" s="53">
        <f t="shared" si="19"/>
        <v>-4</v>
      </c>
      <c r="T84" s="53">
        <f t="shared" si="21"/>
        <v>-2</v>
      </c>
      <c r="U84" s="1">
        <f>SUM('Est gen ed 23 $$'!T88:V88)/113832</f>
        <v>6.0000235434675666</v>
      </c>
      <c r="V84" s="60">
        <f t="shared" si="22"/>
        <v>22.000023543467567</v>
      </c>
      <c r="W84">
        <f t="shared" si="28"/>
        <v>2</v>
      </c>
      <c r="X84">
        <v>1</v>
      </c>
      <c r="Y84" s="27">
        <f>0.75*'Est gen ed 23 pos'!CL88</f>
        <v>0.73875000000000002</v>
      </c>
      <c r="Z84" s="27">
        <f t="shared" si="23"/>
        <v>0.26124999999999998</v>
      </c>
    </row>
    <row r="85" spans="1:26" x14ac:dyDescent="0.2">
      <c r="A85" s="2">
        <v>304</v>
      </c>
      <c r="B85" s="25" t="s">
        <v>40</v>
      </c>
      <c r="C85" s="51" t="s">
        <v>39</v>
      </c>
      <c r="D85" s="53">
        <v>5.5</v>
      </c>
      <c r="E85" s="53">
        <v>0</v>
      </c>
      <c r="F85" s="53">
        <f t="shared" si="20"/>
        <v>-5.5</v>
      </c>
      <c r="G85" s="53"/>
      <c r="H85" s="53"/>
      <c r="I85" s="53"/>
      <c r="J85" s="53"/>
      <c r="L85" s="51">
        <v>132</v>
      </c>
      <c r="M85" s="51">
        <v>106</v>
      </c>
      <c r="N85" s="58">
        <f t="shared" si="24"/>
        <v>-26</v>
      </c>
      <c r="O85" s="52">
        <v>24</v>
      </c>
      <c r="P85" s="54" t="s">
        <v>34</v>
      </c>
      <c r="Q85" s="54" t="s">
        <v>34</v>
      </c>
      <c r="R85" s="54" t="s">
        <v>34</v>
      </c>
      <c r="S85" s="54" t="s">
        <v>34</v>
      </c>
      <c r="T85" s="54" t="s">
        <v>34</v>
      </c>
      <c r="U85" s="1">
        <f>SUM('Est gen ed 23 $$'!T89:V89)/113832</f>
        <v>0</v>
      </c>
      <c r="V85" s="60">
        <f t="shared" si="22"/>
        <v>0</v>
      </c>
      <c r="X85">
        <v>1</v>
      </c>
      <c r="Y85" s="27">
        <f>0.75*'Est gen ed 23 pos'!CL89</f>
        <v>0</v>
      </c>
      <c r="Z85" s="27">
        <f t="shared" si="23"/>
        <v>-1</v>
      </c>
    </row>
    <row r="86" spans="1:26" x14ac:dyDescent="0.2">
      <c r="A86" s="2">
        <v>436</v>
      </c>
      <c r="B86" s="25" t="s">
        <v>38</v>
      </c>
      <c r="C86" s="51" t="s">
        <v>1</v>
      </c>
      <c r="D86" s="53">
        <v>18.059999999999999</v>
      </c>
      <c r="E86" s="53">
        <v>21</v>
      </c>
      <c r="F86" s="53">
        <f t="shared" si="20"/>
        <v>2.9400000000000013</v>
      </c>
      <c r="G86" s="53"/>
      <c r="H86" s="53">
        <f>94/112</f>
        <v>0.8392857142857143</v>
      </c>
      <c r="I86" s="53"/>
      <c r="K86" s="53">
        <v>0.5</v>
      </c>
      <c r="L86" s="51">
        <v>216</v>
      </c>
      <c r="M86" s="51">
        <v>200</v>
      </c>
      <c r="N86" s="58">
        <f t="shared" si="24"/>
        <v>-16</v>
      </c>
      <c r="O86" s="52">
        <v>11.960132890365449</v>
      </c>
      <c r="P86" s="52">
        <v>10.285714285714286</v>
      </c>
      <c r="Q86" s="5">
        <v>12</v>
      </c>
      <c r="R86">
        <f t="shared" si="26"/>
        <v>17</v>
      </c>
      <c r="S86" s="53">
        <f t="shared" si="19"/>
        <v>-1.0599999999999987</v>
      </c>
      <c r="T86" s="53">
        <f t="shared" si="21"/>
        <v>-4</v>
      </c>
      <c r="U86" s="1">
        <f>SUM('Est gen ed 23 $$'!T90:V90)/113832</f>
        <v>0</v>
      </c>
      <c r="V86" s="60"/>
      <c r="W86">
        <v>4</v>
      </c>
      <c r="X86">
        <v>1</v>
      </c>
      <c r="Y86" s="27">
        <f>0.75*'Est gen ed 23 pos'!CL90</f>
        <v>0.5</v>
      </c>
      <c r="Z86" s="27">
        <f t="shared" si="23"/>
        <v>2.5</v>
      </c>
    </row>
    <row r="87" spans="1:26" x14ac:dyDescent="0.2">
      <c r="A87" s="2">
        <v>459</v>
      </c>
      <c r="B87" s="25" t="s">
        <v>37</v>
      </c>
      <c r="C87" s="51" t="s">
        <v>1</v>
      </c>
      <c r="D87" s="53">
        <v>39.869999999999997</v>
      </c>
      <c r="E87" s="53">
        <v>35</v>
      </c>
      <c r="F87" s="53">
        <f t="shared" si="20"/>
        <v>-4.8699999999999974</v>
      </c>
      <c r="G87" s="53"/>
      <c r="H87" s="53"/>
      <c r="I87" s="53"/>
      <c r="J87" s="53"/>
      <c r="L87" s="51">
        <v>790</v>
      </c>
      <c r="M87" s="51">
        <v>868</v>
      </c>
      <c r="N87" s="58">
        <f t="shared" si="24"/>
        <v>78</v>
      </c>
      <c r="O87" s="52">
        <v>19.814396789566089</v>
      </c>
      <c r="P87" s="52">
        <v>22.571428571428573</v>
      </c>
      <c r="Q87" s="5">
        <v>18</v>
      </c>
      <c r="R87">
        <f t="shared" si="26"/>
        <v>49</v>
      </c>
      <c r="S87" s="53">
        <f t="shared" si="19"/>
        <v>9.1300000000000026</v>
      </c>
      <c r="T87" s="53">
        <f t="shared" si="21"/>
        <v>14</v>
      </c>
      <c r="U87" s="1">
        <f>SUM('Est gen ed 23 $$'!T91:V91)/113832</f>
        <v>0</v>
      </c>
      <c r="V87" s="60"/>
      <c r="W87">
        <v>4</v>
      </c>
      <c r="X87">
        <v>1</v>
      </c>
      <c r="Y87" s="27">
        <f>0.75*'Est gen ed 23 pos'!CL91</f>
        <v>2.17</v>
      </c>
      <c r="Z87" s="27">
        <f t="shared" si="23"/>
        <v>0.83000000000000007</v>
      </c>
    </row>
    <row r="88" spans="1:26" x14ac:dyDescent="0.2">
      <c r="A88" s="2">
        <v>456</v>
      </c>
      <c r="B88" s="25" t="s">
        <v>36</v>
      </c>
      <c r="C88" s="51" t="s">
        <v>1</v>
      </c>
      <c r="D88" s="53">
        <v>25.63</v>
      </c>
      <c r="E88" s="53">
        <v>13</v>
      </c>
      <c r="F88" s="53">
        <f t="shared" si="20"/>
        <v>-12.629999999999999</v>
      </c>
      <c r="G88" s="53"/>
      <c r="H88" s="53"/>
      <c r="I88" s="53"/>
      <c r="J88" s="53"/>
      <c r="L88" s="51">
        <v>695</v>
      </c>
      <c r="M88" s="51">
        <v>590</v>
      </c>
      <c r="N88" s="58">
        <f t="shared" si="24"/>
        <v>-105</v>
      </c>
      <c r="O88" s="52">
        <v>27.116660163870467</v>
      </c>
      <c r="P88" s="52">
        <v>53.46153846153846</v>
      </c>
      <c r="Q88" s="5">
        <v>27</v>
      </c>
      <c r="R88">
        <f t="shared" si="26"/>
        <v>22</v>
      </c>
      <c r="S88" s="53">
        <f t="shared" si="19"/>
        <v>-3.629999999999999</v>
      </c>
      <c r="T88" s="53">
        <f t="shared" si="21"/>
        <v>9</v>
      </c>
      <c r="U88" s="1">
        <f>SUM('Est gen ed 23 $$'!T92:V92)/113832</f>
        <v>0</v>
      </c>
      <c r="V88" s="60"/>
      <c r="W88">
        <v>4</v>
      </c>
      <c r="X88">
        <v>1</v>
      </c>
      <c r="Y88" s="27">
        <f>0.75*'Est gen ed 23 pos'!CL92</f>
        <v>1.4749999999999996</v>
      </c>
      <c r="Z88" s="27">
        <f t="shared" si="23"/>
        <v>1.5250000000000004</v>
      </c>
    </row>
    <row r="89" spans="1:26" x14ac:dyDescent="0.2">
      <c r="A89" s="2">
        <v>305</v>
      </c>
      <c r="B89" s="25" t="s">
        <v>33</v>
      </c>
      <c r="C89" s="51" t="s">
        <v>7</v>
      </c>
      <c r="D89" s="53">
        <v>9</v>
      </c>
      <c r="E89" s="53">
        <v>11</v>
      </c>
      <c r="F89" s="53">
        <f t="shared" si="20"/>
        <v>2</v>
      </c>
      <c r="G89" s="53"/>
      <c r="H89" s="53"/>
      <c r="I89" s="53"/>
      <c r="J89" s="53"/>
      <c r="L89" s="51">
        <v>162</v>
      </c>
      <c r="M89" s="51">
        <v>152</v>
      </c>
      <c r="N89" s="58">
        <f t="shared" si="24"/>
        <v>-10</v>
      </c>
      <c r="O89" s="52">
        <v>18</v>
      </c>
      <c r="P89" s="52">
        <v>14.727272727272727</v>
      </c>
      <c r="Q89" s="5">
        <v>17</v>
      </c>
      <c r="R89">
        <f t="shared" si="26"/>
        <v>9</v>
      </c>
      <c r="S89" s="53">
        <f t="shared" si="19"/>
        <v>0</v>
      </c>
      <c r="T89" s="53">
        <f t="shared" si="21"/>
        <v>-2</v>
      </c>
      <c r="U89" s="1">
        <f>SUM('Est gen ed 23 $$'!T93:V93)/113832</f>
        <v>1.0000039531941809</v>
      </c>
      <c r="V89" s="60">
        <f t="shared" si="22"/>
        <v>10.000003953194181</v>
      </c>
      <c r="W89">
        <f t="shared" ref="W89:W90" si="29">ROUNDUP(R89/8,0)</f>
        <v>2</v>
      </c>
      <c r="X89">
        <v>1</v>
      </c>
      <c r="Y89" s="27">
        <f>0.75*'Est gen ed 23 pos'!CL93</f>
        <v>0</v>
      </c>
      <c r="Z89" s="27">
        <f t="shared" si="23"/>
        <v>1</v>
      </c>
    </row>
    <row r="90" spans="1:26" x14ac:dyDescent="0.2">
      <c r="A90" s="2">
        <v>307</v>
      </c>
      <c r="B90" s="25" t="s">
        <v>32</v>
      </c>
      <c r="C90" s="51" t="s">
        <v>7</v>
      </c>
      <c r="D90" s="53">
        <v>10</v>
      </c>
      <c r="E90" s="53">
        <v>9</v>
      </c>
      <c r="F90" s="53">
        <f t="shared" si="20"/>
        <v>-1</v>
      </c>
      <c r="G90" s="53"/>
      <c r="H90" s="53"/>
      <c r="I90" s="53"/>
      <c r="J90" s="53"/>
      <c r="L90" s="51">
        <v>202</v>
      </c>
      <c r="M90" s="51">
        <v>207</v>
      </c>
      <c r="N90" s="58">
        <f t="shared" si="24"/>
        <v>5</v>
      </c>
      <c r="O90" s="52">
        <v>20.2</v>
      </c>
      <c r="P90" s="52">
        <v>22.444444444444443</v>
      </c>
      <c r="Q90" s="5">
        <v>17</v>
      </c>
      <c r="R90">
        <f t="shared" si="26"/>
        <v>13</v>
      </c>
      <c r="S90" s="53">
        <f t="shared" si="19"/>
        <v>3</v>
      </c>
      <c r="T90" s="53">
        <f t="shared" si="21"/>
        <v>4</v>
      </c>
      <c r="U90" s="1">
        <f>SUM('Est gen ed 23 $$'!T94:V94)/113832</f>
        <v>4.0000156370792048</v>
      </c>
      <c r="V90" s="60">
        <f t="shared" si="22"/>
        <v>17.000015637079205</v>
      </c>
      <c r="W90">
        <f t="shared" si="29"/>
        <v>2</v>
      </c>
      <c r="X90">
        <v>1</v>
      </c>
      <c r="Y90" s="27">
        <f>0.75*'Est gen ed 23 pos'!CL94</f>
        <v>0</v>
      </c>
      <c r="Z90" s="27">
        <f t="shared" si="23"/>
        <v>1</v>
      </c>
    </row>
    <row r="91" spans="1:26" x14ac:dyDescent="0.2">
      <c r="A91" s="2">
        <v>409</v>
      </c>
      <c r="B91" s="25" t="s">
        <v>31</v>
      </c>
      <c r="C91" s="51" t="s">
        <v>4</v>
      </c>
      <c r="D91" s="53">
        <v>27.1</v>
      </c>
      <c r="E91" s="53">
        <v>30</v>
      </c>
      <c r="F91" s="53">
        <f t="shared" si="20"/>
        <v>2.8999999999999986</v>
      </c>
      <c r="G91" s="53"/>
      <c r="H91" s="53"/>
      <c r="I91" s="53"/>
      <c r="K91" s="53">
        <v>1.3</v>
      </c>
      <c r="L91" s="51">
        <v>524</v>
      </c>
      <c r="M91" s="51">
        <v>447</v>
      </c>
      <c r="N91" s="58">
        <f t="shared" si="24"/>
        <v>-77</v>
      </c>
      <c r="O91" s="52">
        <v>19.335793357933579</v>
      </c>
      <c r="P91" s="52">
        <v>17.466666666666665</v>
      </c>
      <c r="Q91" s="5">
        <v>19</v>
      </c>
      <c r="R91">
        <f t="shared" si="26"/>
        <v>24</v>
      </c>
      <c r="S91" s="53">
        <f t="shared" si="19"/>
        <v>-3.1000000000000014</v>
      </c>
      <c r="T91" s="53">
        <f t="shared" si="21"/>
        <v>-6</v>
      </c>
      <c r="U91" s="1">
        <f>SUM('Est gen ed 23 $$'!T95:V95)/113832</f>
        <v>5.0000195902733848</v>
      </c>
      <c r="V91" s="60">
        <f t="shared" si="22"/>
        <v>29.000019590273386</v>
      </c>
      <c r="W91">
        <f>ROUNDUP(R91/8,0)</f>
        <v>3</v>
      </c>
      <c r="X91">
        <v>1</v>
      </c>
      <c r="Y91" s="27">
        <f>0.75*'Est gen ed 23 pos'!CL95</f>
        <v>0.96750000000000003</v>
      </c>
      <c r="Z91" s="27">
        <f t="shared" si="23"/>
        <v>1.0325</v>
      </c>
    </row>
    <row r="92" spans="1:26" x14ac:dyDescent="0.2">
      <c r="A92" s="2">
        <v>466</v>
      </c>
      <c r="B92" s="25" t="s">
        <v>30</v>
      </c>
      <c r="C92" s="51" t="s">
        <v>1</v>
      </c>
      <c r="D92" s="53">
        <v>25.1</v>
      </c>
      <c r="E92" s="53">
        <v>36</v>
      </c>
      <c r="F92" s="53">
        <f t="shared" si="20"/>
        <v>10.899999999999999</v>
      </c>
      <c r="G92" s="53"/>
      <c r="H92" s="53"/>
      <c r="I92" s="53"/>
      <c r="J92" s="1">
        <f>519436+148035</f>
        <v>667471</v>
      </c>
      <c r="L92" s="51">
        <v>600</v>
      </c>
      <c r="M92" s="51">
        <v>600</v>
      </c>
      <c r="N92" s="58">
        <f t="shared" si="24"/>
        <v>0</v>
      </c>
      <c r="O92" s="54" t="s">
        <v>34</v>
      </c>
      <c r="P92" s="52">
        <v>16.666666666666668</v>
      </c>
      <c r="Q92" s="5">
        <v>17</v>
      </c>
      <c r="R92">
        <f t="shared" si="26"/>
        <v>36</v>
      </c>
      <c r="S92" s="53">
        <f t="shared" si="19"/>
        <v>10.899999999999999</v>
      </c>
      <c r="T92" s="53">
        <f t="shared" si="21"/>
        <v>0</v>
      </c>
      <c r="U92" s="1">
        <f>SUM('Est gen ed 23 $$'!T96:V96)/113832</f>
        <v>0</v>
      </c>
      <c r="V92" s="60"/>
      <c r="W92">
        <v>4</v>
      </c>
      <c r="X92">
        <v>1</v>
      </c>
      <c r="Y92" s="27">
        <f>0.75*'Est gen ed 23 pos'!CL96</f>
        <v>1.5</v>
      </c>
      <c r="Z92" s="27">
        <f t="shared" si="23"/>
        <v>1.5</v>
      </c>
    </row>
    <row r="93" spans="1:26" x14ac:dyDescent="0.2">
      <c r="A93" s="2">
        <v>943</v>
      </c>
      <c r="B93" s="25" t="s">
        <v>29</v>
      </c>
      <c r="C93" s="51" t="s">
        <v>7</v>
      </c>
      <c r="D93" s="53">
        <v>11</v>
      </c>
      <c r="E93" s="53">
        <v>11</v>
      </c>
      <c r="F93" s="53">
        <f t="shared" si="20"/>
        <v>0</v>
      </c>
      <c r="G93" s="53"/>
      <c r="H93" s="53"/>
      <c r="I93" s="53"/>
      <c r="J93" s="53"/>
      <c r="L93" s="51">
        <v>239</v>
      </c>
      <c r="M93" s="51">
        <v>248</v>
      </c>
      <c r="N93" s="58">
        <f t="shared" si="24"/>
        <v>9</v>
      </c>
      <c r="O93" s="54">
        <v>21.727272727272727</v>
      </c>
      <c r="P93" s="52">
        <v>21.727272727272727</v>
      </c>
      <c r="Q93" s="5">
        <v>17</v>
      </c>
      <c r="R93">
        <f t="shared" si="26"/>
        <v>15</v>
      </c>
      <c r="S93" s="53">
        <f t="shared" si="19"/>
        <v>4</v>
      </c>
      <c r="T93" s="53">
        <f t="shared" si="21"/>
        <v>4</v>
      </c>
      <c r="U93" s="1">
        <f>SUM('Est gen ed 23 $$'!T97:V97)/113832</f>
        <v>4.0000156370792048</v>
      </c>
      <c r="V93" s="60">
        <f t="shared" si="22"/>
        <v>19.000015637079205</v>
      </c>
      <c r="W93">
        <f t="shared" ref="W93:W97" si="30">ROUNDUP(R93/8,0)</f>
        <v>2</v>
      </c>
      <c r="X93">
        <v>1</v>
      </c>
      <c r="Y93" s="27">
        <f>0.75*'Est gen ed 23 pos'!CL97</f>
        <v>0.59625000000000006</v>
      </c>
      <c r="Z93" s="27">
        <f t="shared" si="23"/>
        <v>0.40375000000000005</v>
      </c>
    </row>
    <row r="94" spans="1:26" x14ac:dyDescent="0.2">
      <c r="A94" s="2">
        <v>309</v>
      </c>
      <c r="B94" s="25" t="s">
        <v>28</v>
      </c>
      <c r="C94" s="51" t="s">
        <v>7</v>
      </c>
      <c r="D94" s="53">
        <v>13</v>
      </c>
      <c r="E94" s="53">
        <v>14</v>
      </c>
      <c r="F94" s="53">
        <f t="shared" si="20"/>
        <v>1</v>
      </c>
      <c r="G94" s="53"/>
      <c r="H94" s="53"/>
      <c r="I94" s="53"/>
      <c r="J94" s="53"/>
      <c r="L94" s="51">
        <v>269</v>
      </c>
      <c r="M94" s="51">
        <v>250</v>
      </c>
      <c r="N94" s="58">
        <f t="shared" si="24"/>
        <v>-19</v>
      </c>
      <c r="O94" s="52">
        <v>20.692307692307693</v>
      </c>
      <c r="P94" s="52">
        <v>19.214285714285715</v>
      </c>
      <c r="Q94" s="5">
        <v>19</v>
      </c>
      <c r="R94">
        <f t="shared" si="26"/>
        <v>14</v>
      </c>
      <c r="S94" s="53">
        <f t="shared" si="19"/>
        <v>1</v>
      </c>
      <c r="T94" s="53">
        <f t="shared" si="21"/>
        <v>0</v>
      </c>
      <c r="U94" s="1">
        <f>SUM('Est gen ed 23 $$'!T98:V98)/113832</f>
        <v>6.0000235434675666</v>
      </c>
      <c r="V94" s="60">
        <f t="shared" si="22"/>
        <v>20.000023543467567</v>
      </c>
      <c r="W94">
        <f t="shared" si="30"/>
        <v>2</v>
      </c>
      <c r="X94">
        <v>1</v>
      </c>
      <c r="Y94" s="27">
        <f>0.75*'Est gen ed 23 pos'!CL98</f>
        <v>0.64687500000000009</v>
      </c>
      <c r="Z94" s="27">
        <f t="shared" si="23"/>
        <v>0.35312499999999991</v>
      </c>
    </row>
    <row r="95" spans="1:26" x14ac:dyDescent="0.2">
      <c r="A95" s="2">
        <v>313</v>
      </c>
      <c r="B95" s="25" t="s">
        <v>27</v>
      </c>
      <c r="C95" s="51" t="s">
        <v>7</v>
      </c>
      <c r="D95" s="53">
        <v>13</v>
      </c>
      <c r="E95" s="53">
        <v>15</v>
      </c>
      <c r="F95" s="53">
        <f t="shared" si="20"/>
        <v>2</v>
      </c>
      <c r="G95" s="53"/>
      <c r="H95" s="53"/>
      <c r="I95" s="53"/>
      <c r="J95" s="53"/>
      <c r="L95" s="51">
        <v>300</v>
      </c>
      <c r="M95" s="51">
        <v>289</v>
      </c>
      <c r="N95" s="58">
        <f t="shared" si="24"/>
        <v>-11</v>
      </c>
      <c r="O95" s="52">
        <v>23.076923076923077</v>
      </c>
      <c r="P95" s="52">
        <v>20</v>
      </c>
      <c r="Q95" s="5">
        <v>19</v>
      </c>
      <c r="R95">
        <f t="shared" si="26"/>
        <v>16</v>
      </c>
      <c r="S95" s="53">
        <f t="shared" si="19"/>
        <v>3</v>
      </c>
      <c r="T95" s="53">
        <f t="shared" si="21"/>
        <v>1</v>
      </c>
      <c r="U95" s="1">
        <f>SUM('Est gen ed 23 $$'!T99:V99)/113832</f>
        <v>4.0000156370792048</v>
      </c>
      <c r="V95" s="60">
        <f t="shared" si="22"/>
        <v>20.000015637079205</v>
      </c>
      <c r="W95">
        <f t="shared" si="30"/>
        <v>2</v>
      </c>
      <c r="X95">
        <v>1</v>
      </c>
      <c r="Y95" s="27">
        <f>0.75*'Est gen ed 23 pos'!CL99</f>
        <v>0.67312500000000008</v>
      </c>
      <c r="Z95" s="27">
        <f t="shared" si="23"/>
        <v>0.3268749999999998</v>
      </c>
    </row>
    <row r="96" spans="1:26" x14ac:dyDescent="0.2">
      <c r="A96" s="2">
        <v>315</v>
      </c>
      <c r="B96" s="25" t="s">
        <v>26</v>
      </c>
      <c r="C96" s="51" t="s">
        <v>7</v>
      </c>
      <c r="D96" s="53">
        <v>11</v>
      </c>
      <c r="E96" s="53">
        <v>12</v>
      </c>
      <c r="F96" s="53">
        <f t="shared" si="20"/>
        <v>1</v>
      </c>
      <c r="G96" s="53"/>
      <c r="H96" s="53">
        <f>105/112</f>
        <v>0.9375</v>
      </c>
      <c r="I96" s="53">
        <v>1</v>
      </c>
      <c r="K96" s="53">
        <v>1</v>
      </c>
      <c r="L96" s="51">
        <v>191</v>
      </c>
      <c r="M96" s="51">
        <v>184</v>
      </c>
      <c r="N96" s="58">
        <f t="shared" si="24"/>
        <v>-7</v>
      </c>
      <c r="O96" s="52">
        <v>17.363636363636363</v>
      </c>
      <c r="P96" s="52">
        <v>15.916666666666666</v>
      </c>
      <c r="Q96" s="5">
        <v>17</v>
      </c>
      <c r="R96">
        <f t="shared" si="26"/>
        <v>11</v>
      </c>
      <c r="S96" s="53">
        <f t="shared" si="19"/>
        <v>0</v>
      </c>
      <c r="T96" s="53">
        <f t="shared" si="21"/>
        <v>-1</v>
      </c>
      <c r="U96" s="1">
        <f>SUM('Est gen ed 23 $$'!T100:V100)/113832</f>
        <v>3.0000118595825427</v>
      </c>
      <c r="V96" s="60">
        <f t="shared" si="22"/>
        <v>14.000011859582543</v>
      </c>
      <c r="W96">
        <f t="shared" si="30"/>
        <v>2</v>
      </c>
      <c r="X96">
        <v>1</v>
      </c>
      <c r="Y96" s="27">
        <f>0.75*'Est gen ed 23 pos'!CL100</f>
        <v>0</v>
      </c>
      <c r="Z96" s="27">
        <f t="shared" si="23"/>
        <v>1</v>
      </c>
    </row>
    <row r="97" spans="1:26" x14ac:dyDescent="0.2">
      <c r="A97" s="2">
        <v>322</v>
      </c>
      <c r="B97" s="25" t="s">
        <v>25</v>
      </c>
      <c r="C97" s="51" t="s">
        <v>7</v>
      </c>
      <c r="D97" s="53">
        <v>10</v>
      </c>
      <c r="E97" s="53">
        <v>13</v>
      </c>
      <c r="F97" s="53">
        <f t="shared" si="20"/>
        <v>3</v>
      </c>
      <c r="G97" s="53"/>
      <c r="H97" s="53">
        <f>104/112</f>
        <v>0.9285714285714286</v>
      </c>
      <c r="I97" s="53">
        <v>1</v>
      </c>
      <c r="L97" s="51">
        <v>171</v>
      </c>
      <c r="M97" s="51">
        <v>157</v>
      </c>
      <c r="N97" s="58">
        <f t="shared" si="24"/>
        <v>-14</v>
      </c>
      <c r="O97" s="52">
        <v>17.100000000000001</v>
      </c>
      <c r="P97" s="52">
        <v>13.153846153846153</v>
      </c>
      <c r="Q97" s="5">
        <v>17</v>
      </c>
      <c r="R97">
        <f t="shared" si="26"/>
        <v>10</v>
      </c>
      <c r="S97" s="53">
        <f t="shared" si="19"/>
        <v>0</v>
      </c>
      <c r="T97" s="53">
        <f t="shared" si="21"/>
        <v>-3</v>
      </c>
      <c r="U97" s="1">
        <f>SUM('Est gen ed 23 $$'!T101:V101)/113832</f>
        <v>4.0000156370792048</v>
      </c>
      <c r="V97" s="60">
        <f t="shared" si="22"/>
        <v>14.000015637079205</v>
      </c>
      <c r="W97">
        <f t="shared" si="30"/>
        <v>2</v>
      </c>
      <c r="X97">
        <v>1</v>
      </c>
      <c r="Y97" s="27">
        <f>0.75*'Est gen ed 23 pos'!CL101</f>
        <v>0</v>
      </c>
      <c r="Z97" s="27">
        <f t="shared" si="23"/>
        <v>1</v>
      </c>
    </row>
    <row r="98" spans="1:26" x14ac:dyDescent="0.2">
      <c r="A98" s="2">
        <v>427</v>
      </c>
      <c r="B98" s="25" t="s">
        <v>24</v>
      </c>
      <c r="C98" s="51" t="s">
        <v>19</v>
      </c>
      <c r="D98" s="53">
        <v>14.5</v>
      </c>
      <c r="E98" s="53">
        <v>17.5</v>
      </c>
      <c r="F98" s="53">
        <f t="shared" si="20"/>
        <v>3</v>
      </c>
      <c r="G98" s="53"/>
      <c r="H98" s="53">
        <f>123/112</f>
        <v>1.0982142857142858</v>
      </c>
      <c r="I98" s="53">
        <v>1</v>
      </c>
      <c r="K98" s="53">
        <v>0.5</v>
      </c>
      <c r="L98" s="51">
        <v>276</v>
      </c>
      <c r="M98" s="51">
        <v>224</v>
      </c>
      <c r="N98" s="58">
        <f t="shared" si="24"/>
        <v>-52</v>
      </c>
      <c r="O98" s="52">
        <v>19.03448275862069</v>
      </c>
      <c r="P98" s="52">
        <v>15.771428571428572</v>
      </c>
      <c r="Q98" s="5">
        <v>19</v>
      </c>
      <c r="R98">
        <f t="shared" si="26"/>
        <v>12</v>
      </c>
      <c r="S98" s="53">
        <f t="shared" si="19"/>
        <v>-2.5</v>
      </c>
      <c r="T98" s="53">
        <f t="shared" si="21"/>
        <v>-5.5</v>
      </c>
      <c r="U98" s="1">
        <f>SUM('Est gen ed 23 $$'!T102:V102)/113832</f>
        <v>0</v>
      </c>
      <c r="V98" s="60"/>
      <c r="W98">
        <v>4</v>
      </c>
      <c r="X98">
        <v>1</v>
      </c>
      <c r="Y98" s="27">
        <f>0.75*'Est gen ed 23 pos'!CL102</f>
        <v>0.56000000000000005</v>
      </c>
      <c r="Z98" s="27">
        <f t="shared" si="23"/>
        <v>2.44</v>
      </c>
    </row>
    <row r="99" spans="1:26" x14ac:dyDescent="0.2">
      <c r="A99" s="2">
        <v>319</v>
      </c>
      <c r="B99" s="25" t="s">
        <v>23</v>
      </c>
      <c r="C99" s="51" t="s">
        <v>7</v>
      </c>
      <c r="D99" s="53">
        <v>17</v>
      </c>
      <c r="E99" s="53">
        <v>17</v>
      </c>
      <c r="F99" s="53">
        <f t="shared" si="20"/>
        <v>0</v>
      </c>
      <c r="G99" s="53"/>
      <c r="H99" s="53"/>
      <c r="I99" s="53"/>
      <c r="J99" s="53"/>
      <c r="L99" s="51">
        <v>313</v>
      </c>
      <c r="M99" s="51">
        <v>250</v>
      </c>
      <c r="N99" s="58">
        <f t="shared" si="24"/>
        <v>-63</v>
      </c>
      <c r="O99" s="52">
        <v>18.411764705882351</v>
      </c>
      <c r="P99" s="52">
        <v>18.411764705882351</v>
      </c>
      <c r="Q99" s="5">
        <v>19</v>
      </c>
      <c r="R99">
        <f t="shared" si="26"/>
        <v>14</v>
      </c>
      <c r="S99" s="53">
        <f t="shared" si="19"/>
        <v>-3</v>
      </c>
      <c r="T99" s="53">
        <f t="shared" si="21"/>
        <v>-3</v>
      </c>
      <c r="U99" s="1">
        <f>SUM('Est gen ed 23 $$'!T103:V103)/113832</f>
        <v>5.0000195902733848</v>
      </c>
      <c r="V99" s="60">
        <f t="shared" si="22"/>
        <v>19.000019590273386</v>
      </c>
      <c r="W99">
        <f>ROUNDUP(R99/8,0)</f>
        <v>2</v>
      </c>
      <c r="X99">
        <v>1</v>
      </c>
      <c r="Y99" s="27">
        <f>0.75*'Est gen ed 23 pos'!CL103</f>
        <v>0.59437499999999999</v>
      </c>
      <c r="Z99" s="27">
        <f t="shared" si="23"/>
        <v>0.40562500000000012</v>
      </c>
    </row>
    <row r="100" spans="1:26" x14ac:dyDescent="0.2">
      <c r="A100" s="2">
        <v>1142</v>
      </c>
      <c r="B100" s="25" t="s">
        <v>22</v>
      </c>
      <c r="C100" s="51" t="s">
        <v>243</v>
      </c>
      <c r="D100" s="54" t="s">
        <v>34</v>
      </c>
      <c r="E100" s="53">
        <v>0</v>
      </c>
      <c r="F100" s="54" t="s">
        <v>34</v>
      </c>
      <c r="G100" s="54"/>
      <c r="H100" s="54"/>
      <c r="I100" s="54"/>
      <c r="J100" s="54"/>
      <c r="L100" s="51">
        <v>0</v>
      </c>
      <c r="M100" s="51">
        <v>0</v>
      </c>
      <c r="N100" s="58">
        <f t="shared" si="24"/>
        <v>0</v>
      </c>
      <c r="O100" s="54" t="s">
        <v>34</v>
      </c>
      <c r="P100" s="54" t="s">
        <v>34</v>
      </c>
      <c r="Q100" s="54" t="s">
        <v>34</v>
      </c>
      <c r="R100" s="54" t="s">
        <v>34</v>
      </c>
      <c r="S100" s="54" t="s">
        <v>34</v>
      </c>
      <c r="T100" s="54" t="s">
        <v>34</v>
      </c>
      <c r="U100" s="1">
        <f>SUM('Est gen ed 23 $$'!T104:V104)/113832</f>
        <v>5.0000195902733848</v>
      </c>
      <c r="V100" s="60">
        <f t="shared" si="22"/>
        <v>5.0000195902733848</v>
      </c>
      <c r="X100">
        <v>1</v>
      </c>
      <c r="Y100" s="27">
        <f>0.75*'Est gen ed 23 pos'!CL104</f>
        <v>0</v>
      </c>
      <c r="Z100" s="27">
        <f t="shared" si="23"/>
        <v>-1</v>
      </c>
    </row>
    <row r="101" spans="1:26" x14ac:dyDescent="0.2">
      <c r="A101" s="2">
        <v>321</v>
      </c>
      <c r="B101" s="25" t="s">
        <v>21</v>
      </c>
      <c r="C101" s="51" t="s">
        <v>7</v>
      </c>
      <c r="D101" s="53">
        <v>23</v>
      </c>
      <c r="E101" s="53">
        <v>21</v>
      </c>
      <c r="F101" s="53">
        <f t="shared" si="20"/>
        <v>-2</v>
      </c>
      <c r="G101" s="53"/>
      <c r="H101" s="53"/>
      <c r="I101" s="53"/>
      <c r="J101" s="53"/>
      <c r="L101" s="51">
        <v>434</v>
      </c>
      <c r="M101" s="51">
        <v>438</v>
      </c>
      <c r="N101" s="58">
        <f t="shared" si="24"/>
        <v>4</v>
      </c>
      <c r="O101" s="52">
        <v>18.869565217391305</v>
      </c>
      <c r="P101" s="52">
        <v>20.666666666666668</v>
      </c>
      <c r="Q101" s="5">
        <v>20</v>
      </c>
      <c r="R101">
        <f t="shared" si="26"/>
        <v>22</v>
      </c>
      <c r="S101" s="53">
        <f t="shared" si="19"/>
        <v>-1</v>
      </c>
      <c r="T101" s="53">
        <f t="shared" si="21"/>
        <v>1</v>
      </c>
      <c r="U101" s="1">
        <f>SUM('Est gen ed 23 $$'!T105:V105)/113832</f>
        <v>1.0000039531941809</v>
      </c>
      <c r="V101" s="60">
        <f t="shared" si="22"/>
        <v>23.000003953194181</v>
      </c>
      <c r="W101">
        <f>ROUNDUP(R101/8,0)</f>
        <v>3</v>
      </c>
      <c r="X101">
        <v>1</v>
      </c>
      <c r="Y101" s="27">
        <f>0.75*'Est gen ed 23 pos'!CL105</f>
        <v>0.85687500000000005</v>
      </c>
      <c r="Z101" s="27">
        <f t="shared" si="23"/>
        <v>1.1431249999999999</v>
      </c>
    </row>
    <row r="102" spans="1:26" x14ac:dyDescent="0.2">
      <c r="A102" s="2">
        <v>428</v>
      </c>
      <c r="B102" s="25" t="s">
        <v>20</v>
      </c>
      <c r="C102" s="51" t="s">
        <v>19</v>
      </c>
      <c r="D102" s="53">
        <v>26</v>
      </c>
      <c r="E102" s="53">
        <v>24</v>
      </c>
      <c r="F102" s="53">
        <f t="shared" si="20"/>
        <v>-2</v>
      </c>
      <c r="G102" s="53"/>
      <c r="H102" s="53"/>
      <c r="I102" s="53"/>
      <c r="J102" s="53"/>
      <c r="L102" s="51">
        <v>507</v>
      </c>
      <c r="M102" s="51">
        <v>507</v>
      </c>
      <c r="N102" s="58">
        <f t="shared" si="24"/>
        <v>0</v>
      </c>
      <c r="O102" s="52">
        <v>19.5</v>
      </c>
      <c r="P102" s="52">
        <v>21.125</v>
      </c>
      <c r="Q102" s="5">
        <v>19</v>
      </c>
      <c r="R102">
        <f t="shared" si="26"/>
        <v>27</v>
      </c>
      <c r="S102" s="53">
        <f t="shared" si="19"/>
        <v>1</v>
      </c>
      <c r="T102" s="53">
        <f t="shared" si="21"/>
        <v>3</v>
      </c>
      <c r="U102" s="1">
        <f>SUM('Est gen ed 23 $$'!T106:V106)/113832</f>
        <v>0</v>
      </c>
      <c r="V102" s="60"/>
      <c r="W102">
        <v>4</v>
      </c>
      <c r="X102">
        <v>1</v>
      </c>
      <c r="Y102" s="27">
        <f>0.75*'Est gen ed 23 pos'!CL106</f>
        <v>1.2674999999999998</v>
      </c>
      <c r="Z102" s="27">
        <f t="shared" si="23"/>
        <v>1.7324999999999999</v>
      </c>
    </row>
    <row r="103" spans="1:26" x14ac:dyDescent="0.2">
      <c r="A103" s="2">
        <v>324</v>
      </c>
      <c r="B103" s="25" t="s">
        <v>18</v>
      </c>
      <c r="C103" s="51" t="s">
        <v>7</v>
      </c>
      <c r="D103" s="53">
        <v>17</v>
      </c>
      <c r="E103" s="53">
        <v>17</v>
      </c>
      <c r="F103" s="53">
        <f t="shared" si="20"/>
        <v>0</v>
      </c>
      <c r="G103" s="53"/>
      <c r="H103" s="53"/>
      <c r="I103" s="53"/>
      <c r="J103" s="53"/>
      <c r="L103" s="51">
        <v>327</v>
      </c>
      <c r="M103" s="51">
        <v>316</v>
      </c>
      <c r="N103" s="58">
        <f t="shared" si="24"/>
        <v>-11</v>
      </c>
      <c r="O103" s="52">
        <v>19.235294117647058</v>
      </c>
      <c r="P103" s="52">
        <v>19.235294117647058</v>
      </c>
      <c r="Q103" s="5">
        <v>19</v>
      </c>
      <c r="R103">
        <f t="shared" si="26"/>
        <v>17</v>
      </c>
      <c r="S103" s="53">
        <f t="shared" si="19"/>
        <v>0</v>
      </c>
      <c r="T103" s="53">
        <f t="shared" si="21"/>
        <v>0</v>
      </c>
      <c r="U103" s="1">
        <f>SUM('Est gen ed 23 $$'!T107:V107)/113832</f>
        <v>6.0000234556188072</v>
      </c>
      <c r="V103" s="60">
        <f t="shared" si="22"/>
        <v>23.000023455618809</v>
      </c>
      <c r="W103">
        <f t="shared" ref="W103:W110" si="31">ROUNDUP(R103/8,0)</f>
        <v>3</v>
      </c>
      <c r="X103">
        <v>1</v>
      </c>
      <c r="Y103" s="27">
        <f>0.75*'Est gen ed 23 pos'!CL107</f>
        <v>0.77437500000000004</v>
      </c>
      <c r="Z103" s="27">
        <f t="shared" si="23"/>
        <v>1.225625</v>
      </c>
    </row>
    <row r="104" spans="1:26" x14ac:dyDescent="0.2">
      <c r="A104" s="2">
        <v>325</v>
      </c>
      <c r="B104" s="25" t="s">
        <v>17</v>
      </c>
      <c r="C104" s="51" t="s">
        <v>7</v>
      </c>
      <c r="D104" s="53">
        <v>13</v>
      </c>
      <c r="E104" s="53">
        <v>13</v>
      </c>
      <c r="F104" s="53">
        <f t="shared" si="20"/>
        <v>0</v>
      </c>
      <c r="G104" s="53"/>
      <c r="H104" s="53"/>
      <c r="I104" s="53"/>
      <c r="J104" s="53"/>
      <c r="L104" s="51">
        <v>239</v>
      </c>
      <c r="M104" s="51">
        <v>208</v>
      </c>
      <c r="N104" s="58">
        <f t="shared" si="24"/>
        <v>-31</v>
      </c>
      <c r="O104" s="52">
        <v>18.384615384615383</v>
      </c>
      <c r="P104" s="52">
        <v>18.384615384615383</v>
      </c>
      <c r="Q104" s="5">
        <v>17</v>
      </c>
      <c r="R104">
        <f t="shared" si="26"/>
        <v>13</v>
      </c>
      <c r="S104" s="53">
        <f t="shared" si="19"/>
        <v>0</v>
      </c>
      <c r="T104" s="53">
        <f t="shared" si="21"/>
        <v>0</v>
      </c>
      <c r="U104" s="1">
        <f>SUM('Est gen ed 23 $$'!T108:V108)/113832</f>
        <v>5.0000195902733848</v>
      </c>
      <c r="V104" s="60">
        <f t="shared" si="22"/>
        <v>18.000019590273386</v>
      </c>
      <c r="W104">
        <f t="shared" si="31"/>
        <v>2</v>
      </c>
      <c r="X104">
        <v>1</v>
      </c>
      <c r="Y104" s="27">
        <f>0.75*'Est gen ed 23 pos'!CL108</f>
        <v>0</v>
      </c>
      <c r="Z104" s="27">
        <f t="shared" si="23"/>
        <v>1</v>
      </c>
    </row>
    <row r="105" spans="1:26" x14ac:dyDescent="0.2">
      <c r="A105" s="2">
        <v>326</v>
      </c>
      <c r="B105" s="25" t="s">
        <v>16</v>
      </c>
      <c r="C105" s="51" t="s">
        <v>7</v>
      </c>
      <c r="D105" s="53">
        <v>11</v>
      </c>
      <c r="E105" s="53">
        <v>11</v>
      </c>
      <c r="F105" s="53">
        <f t="shared" si="20"/>
        <v>0</v>
      </c>
      <c r="G105" s="53"/>
      <c r="H105" s="53"/>
      <c r="I105" s="53"/>
      <c r="J105" s="53"/>
      <c r="L105" s="51">
        <v>220</v>
      </c>
      <c r="M105" s="51">
        <v>204</v>
      </c>
      <c r="N105" s="58">
        <f t="shared" si="24"/>
        <v>-16</v>
      </c>
      <c r="O105" s="52">
        <v>20</v>
      </c>
      <c r="P105" s="52">
        <v>20</v>
      </c>
      <c r="Q105" s="5">
        <v>17</v>
      </c>
      <c r="R105">
        <f t="shared" si="26"/>
        <v>12</v>
      </c>
      <c r="S105" s="53">
        <f t="shared" si="19"/>
        <v>1</v>
      </c>
      <c r="T105" s="53">
        <f t="shared" si="21"/>
        <v>1</v>
      </c>
      <c r="U105" s="1">
        <f>SUM('Est gen ed 23 $$'!T109:V109)/113832</f>
        <v>5.0000195902733848</v>
      </c>
      <c r="V105" s="60">
        <f t="shared" si="22"/>
        <v>17.000019590273386</v>
      </c>
      <c r="W105">
        <f t="shared" si="31"/>
        <v>2</v>
      </c>
      <c r="X105">
        <v>1</v>
      </c>
      <c r="Y105" s="27">
        <f>0.75*'Est gen ed 23 pos'!CL109</f>
        <v>0</v>
      </c>
      <c r="Z105" s="27">
        <f t="shared" si="23"/>
        <v>1</v>
      </c>
    </row>
    <row r="106" spans="1:26" x14ac:dyDescent="0.2">
      <c r="A106" s="2">
        <v>327</v>
      </c>
      <c r="B106" s="25" t="s">
        <v>15</v>
      </c>
      <c r="C106" s="51" t="s">
        <v>7</v>
      </c>
      <c r="D106" s="53">
        <v>20</v>
      </c>
      <c r="E106" s="53">
        <v>18</v>
      </c>
      <c r="F106" s="53">
        <f t="shared" si="20"/>
        <v>-2</v>
      </c>
      <c r="G106" s="53"/>
      <c r="H106" s="53"/>
      <c r="I106" s="53"/>
      <c r="J106" s="53"/>
      <c r="L106" s="51">
        <v>379</v>
      </c>
      <c r="M106" s="51">
        <v>336</v>
      </c>
      <c r="N106" s="58">
        <f t="shared" si="24"/>
        <v>-43</v>
      </c>
      <c r="O106" s="52">
        <v>18.95</v>
      </c>
      <c r="P106" s="52">
        <v>21.055555555555557</v>
      </c>
      <c r="Q106" s="5">
        <v>19</v>
      </c>
      <c r="R106">
        <f t="shared" si="26"/>
        <v>18</v>
      </c>
      <c r="S106" s="53">
        <f t="shared" si="19"/>
        <v>-2</v>
      </c>
      <c r="T106" s="53">
        <f t="shared" si="21"/>
        <v>0</v>
      </c>
      <c r="U106" s="1">
        <f>SUM('Est gen ed 23 $$'!T110:V110)/113832</f>
        <v>7.0000274966617484</v>
      </c>
      <c r="V106" s="60">
        <f t="shared" si="22"/>
        <v>25.000027496661748</v>
      </c>
      <c r="W106">
        <f t="shared" si="31"/>
        <v>3</v>
      </c>
      <c r="X106">
        <v>1</v>
      </c>
      <c r="Y106" s="27">
        <f>0.75*'Est gen ed 23 pos'!CL110</f>
        <v>0.83250000000000002</v>
      </c>
      <c r="Z106" s="27">
        <f t="shared" si="23"/>
        <v>1.1675</v>
      </c>
    </row>
    <row r="107" spans="1:26" x14ac:dyDescent="0.2">
      <c r="A107" s="2">
        <v>328</v>
      </c>
      <c r="B107" s="25" t="s">
        <v>14</v>
      </c>
      <c r="C107" s="51" t="s">
        <v>7</v>
      </c>
      <c r="D107" s="53">
        <v>23</v>
      </c>
      <c r="E107" s="53">
        <v>25</v>
      </c>
      <c r="F107" s="53">
        <f t="shared" si="20"/>
        <v>2</v>
      </c>
      <c r="G107" s="53"/>
      <c r="H107" s="53">
        <f>244/112</f>
        <v>2.1785714285714284</v>
      </c>
      <c r="I107" s="53">
        <v>1</v>
      </c>
      <c r="K107" s="53">
        <v>3</v>
      </c>
      <c r="L107" s="51">
        <v>485</v>
      </c>
      <c r="M107" s="51">
        <v>475</v>
      </c>
      <c r="N107" s="58">
        <f t="shared" si="24"/>
        <v>-10</v>
      </c>
      <c r="O107" s="52">
        <v>21.086956521739129</v>
      </c>
      <c r="P107" s="52">
        <v>19.399999999999999</v>
      </c>
      <c r="Q107" s="5">
        <v>20</v>
      </c>
      <c r="R107">
        <f t="shared" si="26"/>
        <v>24</v>
      </c>
      <c r="S107" s="53">
        <f t="shared" si="19"/>
        <v>1</v>
      </c>
      <c r="T107" s="53">
        <f t="shared" si="21"/>
        <v>-1</v>
      </c>
      <c r="U107" s="1">
        <f>SUM('Est gen ed 23 $$'!T111:V111)/113832</f>
        <v>4.0000156370792048</v>
      </c>
      <c r="V107" s="60">
        <f t="shared" si="22"/>
        <v>28.000015637079205</v>
      </c>
      <c r="W107">
        <f t="shared" si="31"/>
        <v>3</v>
      </c>
      <c r="X107">
        <v>1</v>
      </c>
      <c r="Y107" s="27">
        <f>0.75*'Est gen ed 23 pos'!CL111</f>
        <v>1.0106249999999999</v>
      </c>
      <c r="Z107" s="27">
        <f t="shared" si="23"/>
        <v>0.98937499999999989</v>
      </c>
    </row>
    <row r="108" spans="1:26" x14ac:dyDescent="0.2">
      <c r="A108" s="2">
        <v>329</v>
      </c>
      <c r="B108" s="25" t="s">
        <v>13</v>
      </c>
      <c r="C108" s="51" t="s">
        <v>7</v>
      </c>
      <c r="D108" s="53">
        <v>18</v>
      </c>
      <c r="E108" s="53">
        <v>19</v>
      </c>
      <c r="F108" s="53">
        <f t="shared" si="20"/>
        <v>1</v>
      </c>
      <c r="G108" s="53"/>
      <c r="H108" s="53"/>
      <c r="I108" s="53"/>
      <c r="J108" s="53"/>
      <c r="L108" s="51">
        <v>406</v>
      </c>
      <c r="M108" s="51">
        <v>430</v>
      </c>
      <c r="N108" s="58">
        <f t="shared" si="24"/>
        <v>24</v>
      </c>
      <c r="O108" s="52">
        <v>22.555555555555557</v>
      </c>
      <c r="P108" s="52">
        <v>21.368421052631579</v>
      </c>
      <c r="Q108" s="5">
        <v>20</v>
      </c>
      <c r="R108">
        <f t="shared" si="26"/>
        <v>22</v>
      </c>
      <c r="S108" s="53">
        <f t="shared" si="19"/>
        <v>4</v>
      </c>
      <c r="T108" s="53">
        <f t="shared" si="21"/>
        <v>3</v>
      </c>
      <c r="U108" s="1">
        <f>SUM('Est gen ed 23 $$'!T112:V112)/113832</f>
        <v>5.0000195902733848</v>
      </c>
      <c r="V108" s="60">
        <f t="shared" si="22"/>
        <v>27.000019590273386</v>
      </c>
      <c r="W108">
        <f t="shared" si="31"/>
        <v>3</v>
      </c>
      <c r="X108">
        <v>1</v>
      </c>
      <c r="Y108" s="27">
        <f>0.75*'Est gen ed 23 pos'!CL112</f>
        <v>0.96374999999999988</v>
      </c>
      <c r="Z108" s="27">
        <f t="shared" si="23"/>
        <v>1.0362500000000001</v>
      </c>
    </row>
    <row r="109" spans="1:26" x14ac:dyDescent="0.2">
      <c r="A109" s="2">
        <v>330</v>
      </c>
      <c r="B109" s="25" t="s">
        <v>12</v>
      </c>
      <c r="C109" s="51" t="s">
        <v>7</v>
      </c>
      <c r="D109" s="53">
        <v>22</v>
      </c>
      <c r="E109" s="53">
        <v>22</v>
      </c>
      <c r="F109" s="53">
        <f t="shared" si="20"/>
        <v>0</v>
      </c>
      <c r="G109" s="53"/>
      <c r="H109" s="53"/>
      <c r="I109" s="53"/>
      <c r="J109" s="53"/>
      <c r="L109" s="51">
        <v>418</v>
      </c>
      <c r="M109" s="51">
        <v>383</v>
      </c>
      <c r="N109" s="58">
        <f t="shared" si="24"/>
        <v>-35</v>
      </c>
      <c r="O109" s="52">
        <v>19</v>
      </c>
      <c r="P109" s="52">
        <v>19</v>
      </c>
      <c r="Q109" s="5">
        <v>20</v>
      </c>
      <c r="R109">
        <f t="shared" si="26"/>
        <v>20</v>
      </c>
      <c r="S109" s="53">
        <f t="shared" si="19"/>
        <v>-2</v>
      </c>
      <c r="T109" s="53">
        <f t="shared" si="21"/>
        <v>-2</v>
      </c>
      <c r="U109" s="1">
        <f>SUM('Est gen ed 23 $$'!T113:V113)/113832</f>
        <v>8.0000312741584096</v>
      </c>
      <c r="V109" s="60">
        <f t="shared" si="22"/>
        <v>28.00003127415841</v>
      </c>
      <c r="W109">
        <f t="shared" si="31"/>
        <v>3</v>
      </c>
      <c r="X109">
        <v>1</v>
      </c>
      <c r="Y109" s="27">
        <f>0.75*'Est gen ed 23 pos'!CL113</f>
        <v>0.95812500000000012</v>
      </c>
      <c r="Z109" s="27">
        <f t="shared" si="23"/>
        <v>1.0418749999999999</v>
      </c>
    </row>
    <row r="110" spans="1:26" x14ac:dyDescent="0.2">
      <c r="A110" s="2">
        <v>331</v>
      </c>
      <c r="B110" s="25" t="s">
        <v>11</v>
      </c>
      <c r="C110" s="51" t="s">
        <v>7</v>
      </c>
      <c r="D110" s="53">
        <v>16</v>
      </c>
      <c r="E110" s="53">
        <v>16</v>
      </c>
      <c r="F110" s="53">
        <f t="shared" si="20"/>
        <v>0</v>
      </c>
      <c r="G110" s="53"/>
      <c r="H110" s="53"/>
      <c r="I110" s="53"/>
      <c r="J110" s="53"/>
      <c r="L110" s="51">
        <v>299</v>
      </c>
      <c r="M110" s="51">
        <v>304</v>
      </c>
      <c r="N110" s="58">
        <f t="shared" si="24"/>
        <v>5</v>
      </c>
      <c r="O110" s="52">
        <v>18.6875</v>
      </c>
      <c r="P110" s="52">
        <v>18.6875</v>
      </c>
      <c r="Q110" s="5">
        <v>19</v>
      </c>
      <c r="R110">
        <f t="shared" si="26"/>
        <v>16</v>
      </c>
      <c r="S110" s="53">
        <f t="shared" si="19"/>
        <v>0</v>
      </c>
      <c r="T110" s="53">
        <f t="shared" si="21"/>
        <v>0</v>
      </c>
      <c r="U110" s="1">
        <f>SUM('Est gen ed 23 $$'!T114:V114)/113832</f>
        <v>4.0000156370792048</v>
      </c>
      <c r="V110" s="60">
        <f t="shared" si="22"/>
        <v>20.000015637079205</v>
      </c>
      <c r="W110">
        <f t="shared" si="31"/>
        <v>2</v>
      </c>
      <c r="X110">
        <v>1</v>
      </c>
      <c r="Y110" s="27">
        <f>0.75*'Est gen ed 23 pos'!CL114</f>
        <v>0.69562499999999994</v>
      </c>
      <c r="Z110" s="27">
        <f t="shared" si="23"/>
        <v>0.30437500000000006</v>
      </c>
    </row>
    <row r="111" spans="1:26" x14ac:dyDescent="0.2">
      <c r="A111" s="2">
        <v>332</v>
      </c>
      <c r="B111" s="25" t="s">
        <v>10</v>
      </c>
      <c r="C111" s="51" t="s">
        <v>4</v>
      </c>
      <c r="D111" s="53">
        <v>17.899999999999999</v>
      </c>
      <c r="E111" s="53">
        <v>21</v>
      </c>
      <c r="F111" s="53">
        <f t="shared" si="20"/>
        <v>3.1000000000000014</v>
      </c>
      <c r="G111" s="53"/>
      <c r="H111" s="53">
        <f>178/112</f>
        <v>1.5892857142857142</v>
      </c>
      <c r="I111" s="53"/>
      <c r="L111" s="51">
        <v>338</v>
      </c>
      <c r="M111" s="51">
        <v>322</v>
      </c>
      <c r="N111" s="58">
        <f t="shared" si="24"/>
        <v>-16</v>
      </c>
      <c r="O111" s="52">
        <v>18.882681564245811</v>
      </c>
      <c r="P111" s="52">
        <v>16.095238095238095</v>
      </c>
      <c r="Q111" s="5">
        <v>18</v>
      </c>
      <c r="R111">
        <f t="shared" si="26"/>
        <v>18</v>
      </c>
      <c r="S111" s="53">
        <f t="shared" si="19"/>
        <v>0.10000000000000142</v>
      </c>
      <c r="T111" s="53">
        <f t="shared" si="21"/>
        <v>-3</v>
      </c>
      <c r="U111" s="1">
        <f>SUM('Est gen ed 23 $$'!T115:V115)/113832</f>
        <v>4.0000156370792048</v>
      </c>
      <c r="V111" s="60">
        <f t="shared" si="22"/>
        <v>22.000015637079205</v>
      </c>
      <c r="W111">
        <f>ROUNDUP(R111/8,0)</f>
        <v>3</v>
      </c>
      <c r="X111">
        <v>1</v>
      </c>
      <c r="Y111" s="27">
        <f>0.75*'Est gen ed 23 pos'!CL115</f>
        <v>0.72000000000000008</v>
      </c>
      <c r="Z111" s="27">
        <f t="shared" si="23"/>
        <v>1.2799999999999998</v>
      </c>
    </row>
    <row r="112" spans="1:26" x14ac:dyDescent="0.2">
      <c r="A112" s="2">
        <v>333</v>
      </c>
      <c r="B112" s="25" t="s">
        <v>9</v>
      </c>
      <c r="C112" s="51" t="s">
        <v>7</v>
      </c>
      <c r="D112" s="53">
        <v>20</v>
      </c>
      <c r="E112" s="53">
        <v>20</v>
      </c>
      <c r="F112" s="53">
        <f t="shared" si="20"/>
        <v>0</v>
      </c>
      <c r="G112" s="53"/>
      <c r="H112" s="53"/>
      <c r="I112" s="53"/>
      <c r="J112" s="53"/>
      <c r="L112" s="51">
        <v>434</v>
      </c>
      <c r="M112" s="51">
        <v>417</v>
      </c>
      <c r="N112" s="58">
        <f t="shared" si="24"/>
        <v>-17</v>
      </c>
      <c r="O112" s="52">
        <v>21.7</v>
      </c>
      <c r="P112" s="52">
        <v>21.7</v>
      </c>
      <c r="Q112" s="5">
        <v>20</v>
      </c>
      <c r="R112">
        <f t="shared" si="26"/>
        <v>21</v>
      </c>
      <c r="S112" s="53">
        <f t="shared" si="19"/>
        <v>1</v>
      </c>
      <c r="T112" s="53">
        <f t="shared" si="21"/>
        <v>1</v>
      </c>
      <c r="U112" s="1">
        <f>SUM('Est gen ed 23 $$'!T116:V116)/113832</f>
        <v>0</v>
      </c>
      <c r="V112" s="60">
        <f t="shared" si="22"/>
        <v>21</v>
      </c>
      <c r="W112">
        <f t="shared" ref="W112:W113" si="32">ROUNDUP(R112/8,0)</f>
        <v>3</v>
      </c>
      <c r="X112">
        <v>1</v>
      </c>
      <c r="Y112" s="27">
        <f>0.75*'Est gen ed 23 pos'!CL116</f>
        <v>0.78187499999999999</v>
      </c>
      <c r="Z112" s="27">
        <f t="shared" si="23"/>
        <v>1.2181250000000001</v>
      </c>
    </row>
    <row r="113" spans="1:26" x14ac:dyDescent="0.2">
      <c r="A113" s="2">
        <v>336</v>
      </c>
      <c r="B113" s="25" t="s">
        <v>8</v>
      </c>
      <c r="C113" s="51" t="s">
        <v>7</v>
      </c>
      <c r="D113" s="53">
        <v>14.5</v>
      </c>
      <c r="E113" s="53">
        <v>13</v>
      </c>
      <c r="F113" s="53">
        <f t="shared" si="20"/>
        <v>-1.5</v>
      </c>
      <c r="G113" s="53"/>
      <c r="H113" s="53"/>
      <c r="I113" s="53"/>
      <c r="J113" s="53"/>
      <c r="L113" s="51">
        <v>262</v>
      </c>
      <c r="M113" s="51">
        <v>303</v>
      </c>
      <c r="N113" s="58">
        <f t="shared" si="24"/>
        <v>41</v>
      </c>
      <c r="O113" s="52">
        <v>18.068965517241381</v>
      </c>
      <c r="P113" s="52">
        <v>20.153846153846153</v>
      </c>
      <c r="Q113" s="5">
        <v>19</v>
      </c>
      <c r="R113">
        <f t="shared" si="26"/>
        <v>16</v>
      </c>
      <c r="S113" s="53">
        <f t="shared" si="19"/>
        <v>1.5</v>
      </c>
      <c r="T113" s="53">
        <f t="shared" si="21"/>
        <v>3</v>
      </c>
      <c r="U113" s="1">
        <f>SUM('Est gen ed 23 $$'!T117:V117)/113832</f>
        <v>6.0000235434675666</v>
      </c>
      <c r="V113" s="60">
        <f t="shared" si="22"/>
        <v>22.000023543467567</v>
      </c>
      <c r="W113">
        <f t="shared" si="32"/>
        <v>2</v>
      </c>
      <c r="X113">
        <v>1</v>
      </c>
      <c r="Y113" s="27">
        <f>0.75*'Est gen ed 23 pos'!CL117</f>
        <v>0.75187499999999996</v>
      </c>
      <c r="Z113" s="27">
        <f t="shared" si="23"/>
        <v>0.24812499999999993</v>
      </c>
    </row>
    <row r="114" spans="1:26" x14ac:dyDescent="0.2">
      <c r="A114" s="2">
        <v>335</v>
      </c>
      <c r="B114" s="25" t="s">
        <v>6</v>
      </c>
      <c r="C114" s="51" t="s">
        <v>4</v>
      </c>
      <c r="D114" s="53">
        <v>15.7</v>
      </c>
      <c r="E114" s="53">
        <v>21</v>
      </c>
      <c r="F114" s="53">
        <f t="shared" si="20"/>
        <v>5.3000000000000007</v>
      </c>
      <c r="G114" s="53"/>
      <c r="H114" s="53">
        <f>143/112</f>
        <v>1.2767857142857142</v>
      </c>
      <c r="I114" s="53"/>
      <c r="K114" s="53">
        <v>2</v>
      </c>
      <c r="L114" s="51">
        <v>256</v>
      </c>
      <c r="M114" s="51">
        <v>289</v>
      </c>
      <c r="N114" s="58">
        <f t="shared" si="24"/>
        <v>33</v>
      </c>
      <c r="O114" s="52">
        <v>16.305732484076433</v>
      </c>
      <c r="P114" s="52">
        <v>12.19047619047619</v>
      </c>
      <c r="Q114" s="5">
        <v>16</v>
      </c>
      <c r="R114">
        <f t="shared" si="26"/>
        <v>19</v>
      </c>
      <c r="S114" s="53">
        <f t="shared" si="19"/>
        <v>3.3000000000000007</v>
      </c>
      <c r="T114" s="53">
        <f t="shared" si="21"/>
        <v>-2</v>
      </c>
      <c r="U114" s="1">
        <f>SUM('Est gen ed 23 $$'!T118:V118)/113832</f>
        <v>5.0000195902733848</v>
      </c>
      <c r="V114" s="60">
        <f t="shared" si="22"/>
        <v>24.000019590273386</v>
      </c>
      <c r="W114">
        <f>ROUNDUP(R114/8,0)</f>
        <v>3</v>
      </c>
      <c r="X114">
        <v>1</v>
      </c>
      <c r="Y114" s="27">
        <f>0.75*'Est gen ed 23 pos'!CL118</f>
        <v>0.66562499999999991</v>
      </c>
      <c r="Z114" s="27">
        <f t="shared" si="23"/>
        <v>1.3343750000000001</v>
      </c>
    </row>
    <row r="115" spans="1:26" x14ac:dyDescent="0.2">
      <c r="A115" s="2">
        <v>338</v>
      </c>
      <c r="B115" s="25" t="s">
        <v>5</v>
      </c>
      <c r="C115" s="51" t="s">
        <v>7</v>
      </c>
      <c r="D115" s="53">
        <v>12</v>
      </c>
      <c r="E115" s="53">
        <v>12</v>
      </c>
      <c r="F115" s="53">
        <f t="shared" si="20"/>
        <v>0</v>
      </c>
      <c r="G115" s="53"/>
      <c r="H115" s="53"/>
      <c r="I115" s="53"/>
      <c r="J115" s="53"/>
      <c r="L115" s="51">
        <v>241</v>
      </c>
      <c r="M115" s="51">
        <v>273</v>
      </c>
      <c r="N115" s="58">
        <f t="shared" si="24"/>
        <v>32</v>
      </c>
      <c r="O115" s="52">
        <v>20.083333333333332</v>
      </c>
      <c r="P115" s="52">
        <v>20.083333333333332</v>
      </c>
      <c r="Q115" s="5">
        <v>19</v>
      </c>
      <c r="R115">
        <f t="shared" si="26"/>
        <v>15</v>
      </c>
      <c r="S115" s="53">
        <f t="shared" si="19"/>
        <v>3</v>
      </c>
      <c r="T115" s="53">
        <f t="shared" si="21"/>
        <v>3</v>
      </c>
      <c r="U115" s="1">
        <f>SUM('Est gen ed 23 $$'!T119:V119)/113832</f>
        <v>5.0000195902733848</v>
      </c>
      <c r="V115" s="60">
        <f t="shared" si="22"/>
        <v>20.000019590273386</v>
      </c>
      <c r="W115">
        <f>ROUNDUP(R115/8,0)</f>
        <v>2</v>
      </c>
      <c r="X115">
        <v>1</v>
      </c>
      <c r="Y115" s="27">
        <f>0.75*'Est gen ed 23 pos'!CL119</f>
        <v>0.64874999999999994</v>
      </c>
      <c r="Z115" s="27">
        <f t="shared" si="23"/>
        <v>0.35125000000000006</v>
      </c>
    </row>
    <row r="116" spans="1:26" x14ac:dyDescent="0.2">
      <c r="A116" s="2">
        <v>463</v>
      </c>
      <c r="B116" s="25" t="s">
        <v>3</v>
      </c>
      <c r="C116" s="51" t="s">
        <v>1</v>
      </c>
      <c r="D116" s="53">
        <v>98</v>
      </c>
      <c r="E116" s="53">
        <v>85</v>
      </c>
      <c r="F116" s="53">
        <f t="shared" si="20"/>
        <v>-13</v>
      </c>
      <c r="G116" s="53"/>
      <c r="I116" s="53"/>
      <c r="K116" s="53">
        <v>1</v>
      </c>
      <c r="L116" s="51">
        <v>2010</v>
      </c>
      <c r="M116" s="51">
        <v>2128</v>
      </c>
      <c r="N116" s="58">
        <f t="shared" si="24"/>
        <v>118</v>
      </c>
      <c r="O116" s="52">
        <v>20.510204081632654</v>
      </c>
      <c r="P116" s="52">
        <v>23.647058823529413</v>
      </c>
      <c r="Q116" s="5">
        <v>20</v>
      </c>
      <c r="R116">
        <f t="shared" si="26"/>
        <v>107</v>
      </c>
      <c r="S116" s="53">
        <f t="shared" si="19"/>
        <v>9</v>
      </c>
      <c r="T116" s="53">
        <f t="shared" si="21"/>
        <v>22</v>
      </c>
      <c r="U116" s="1">
        <f>SUM('Est gen ed 23 $$'!T120:V120)/113832</f>
        <v>0</v>
      </c>
      <c r="V116" s="60"/>
      <c r="W116">
        <v>8</v>
      </c>
      <c r="X116">
        <v>1</v>
      </c>
      <c r="Y116" s="27">
        <f>0.75*'Est gen ed 23 pos'!CL120</f>
        <v>5.32</v>
      </c>
      <c r="Z116" s="27">
        <f t="shared" si="23"/>
        <v>1.6799999999999997</v>
      </c>
    </row>
    <row r="117" spans="1:26" x14ac:dyDescent="0.2">
      <c r="A117" s="2">
        <v>464</v>
      </c>
      <c r="B117" s="25" t="s">
        <v>2</v>
      </c>
      <c r="C117" s="51" t="s">
        <v>1</v>
      </c>
      <c r="D117" s="53">
        <v>28.83</v>
      </c>
      <c r="E117" s="53">
        <v>30</v>
      </c>
      <c r="F117" s="53">
        <f t="shared" si="20"/>
        <v>1.1700000000000017</v>
      </c>
      <c r="G117" s="53"/>
      <c r="H117" s="53">
        <f>217/112</f>
        <v>1.9375</v>
      </c>
      <c r="I117" s="53"/>
      <c r="K117" s="53">
        <v>2.5</v>
      </c>
      <c r="L117" s="51">
        <v>487</v>
      </c>
      <c r="M117" s="51">
        <v>506</v>
      </c>
      <c r="N117" s="58">
        <f t="shared" si="24"/>
        <v>19</v>
      </c>
      <c r="O117" s="52">
        <v>16.892126257370794</v>
      </c>
      <c r="P117" s="52">
        <v>16.233333333333334</v>
      </c>
      <c r="Q117" s="5">
        <v>17</v>
      </c>
      <c r="R117">
        <f t="shared" si="26"/>
        <v>30</v>
      </c>
      <c r="S117" s="53">
        <f t="shared" si="19"/>
        <v>1.1700000000000017</v>
      </c>
      <c r="T117" s="53">
        <f t="shared" si="21"/>
        <v>0</v>
      </c>
      <c r="U117" s="1">
        <f>SUM('Est gen ed 23 $$'!T121:V121)/113832</f>
        <v>0</v>
      </c>
      <c r="V117" s="60"/>
      <c r="W117">
        <v>4</v>
      </c>
      <c r="X117">
        <v>1</v>
      </c>
      <c r="Y117" s="27">
        <f>0.75*'Est gen ed 23 pos'!CL121</f>
        <v>1.2650000000000001</v>
      </c>
      <c r="Z117" s="27">
        <f t="shared" si="23"/>
        <v>1.7349999999999999</v>
      </c>
    </row>
    <row r="118" spans="1:26" x14ac:dyDescent="0.2">
      <c r="B118" s="25" t="s">
        <v>0</v>
      </c>
      <c r="D118" s="53">
        <f>SUM(D2:D117)</f>
        <v>2278.1366666666668</v>
      </c>
      <c r="E118" s="53">
        <f>SUM(E2:E117)</f>
        <v>2302.8295934049338</v>
      </c>
      <c r="J118"/>
      <c r="L118" s="58">
        <f>SUM(L2:L117)</f>
        <v>45407</v>
      </c>
      <c r="M118" s="58">
        <f>SUM(M2:M117)</f>
        <v>44666</v>
      </c>
      <c r="O118" s="53">
        <f t="shared" ref="O118:P118" si="33">SUM(O2:O117)</f>
        <v>2130.0056728903332</v>
      </c>
      <c r="P118" s="53">
        <f t="shared" si="33"/>
        <v>2181.4291148093789</v>
      </c>
      <c r="S118" s="53">
        <f>SUM(S2:S117)</f>
        <v>169.36333333333334</v>
      </c>
      <c r="T118" s="53">
        <f>SUM(T2:T117)</f>
        <v>111.17040659506614</v>
      </c>
      <c r="U118" s="53">
        <f>SUM(U2:U117)</f>
        <v>380.00148912432388</v>
      </c>
      <c r="V118" s="53">
        <f>SUM(V2:V117)</f>
        <v>1711.001489124325</v>
      </c>
      <c r="W118" s="58">
        <f t="shared" ref="W118:Z118" si="34">SUM(W2:W117)</f>
        <v>346</v>
      </c>
      <c r="X118" s="58">
        <f t="shared" si="34"/>
        <v>116</v>
      </c>
      <c r="Y118" s="53">
        <f t="shared" si="34"/>
        <v>95.690624999999997</v>
      </c>
      <c r="Z118" s="53">
        <f t="shared" si="34"/>
        <v>134.30937500000002</v>
      </c>
    </row>
  </sheetData>
  <autoFilter ref="A1:V118" xr:uid="{A94F4A12-20BB-4902-8EFA-F251A5B1B96F}"/>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96A19-85FD-47C4-853C-25AF503256D6}">
  <dimension ref="A1:X25"/>
  <sheetViews>
    <sheetView workbookViewId="0">
      <selection activeCell="D27" sqref="D27"/>
    </sheetView>
  </sheetViews>
  <sheetFormatPr defaultRowHeight="12.75" x14ac:dyDescent="0.2"/>
  <cols>
    <col min="1" max="1" width="37.33203125" style="39" customWidth="1"/>
    <col min="2" max="2" width="15.33203125" style="34" customWidth="1"/>
    <col min="3" max="3" width="8.5" style="39" customWidth="1"/>
    <col min="4" max="4" width="9.5" customWidth="1"/>
    <col min="5" max="5" width="8.33203125" customWidth="1"/>
    <col min="6" max="6" width="8.6640625" customWidth="1"/>
    <col min="7" max="9" width="13.33203125" customWidth="1"/>
    <col min="10" max="10" width="14.6640625" customWidth="1"/>
    <col min="11" max="24" width="13.33203125" customWidth="1"/>
  </cols>
  <sheetData>
    <row r="1" spans="1:24" x14ac:dyDescent="0.2">
      <c r="A1" s="44" t="s">
        <v>303</v>
      </c>
      <c r="B1" s="33" t="s">
        <v>262</v>
      </c>
      <c r="C1" s="17" t="s">
        <v>267</v>
      </c>
      <c r="D1" s="23" t="s">
        <v>272</v>
      </c>
      <c r="E1" s="17"/>
      <c r="F1" s="17"/>
      <c r="G1" s="17"/>
      <c r="H1" s="17"/>
      <c r="I1" s="17"/>
      <c r="J1" s="17"/>
      <c r="K1" s="17"/>
      <c r="L1" s="17"/>
      <c r="M1" s="17"/>
      <c r="N1" s="17"/>
      <c r="O1" s="17"/>
      <c r="P1" s="17"/>
      <c r="Q1" s="17"/>
      <c r="R1" s="17"/>
      <c r="S1" s="17"/>
      <c r="T1" s="17"/>
      <c r="U1" s="17"/>
      <c r="V1" s="17"/>
      <c r="W1" s="17"/>
      <c r="X1" s="17"/>
    </row>
    <row r="2" spans="1:24" x14ac:dyDescent="0.2">
      <c r="A2" s="36" t="s">
        <v>261</v>
      </c>
      <c r="B2" s="33">
        <v>8347479.4800000098</v>
      </c>
      <c r="C2" s="40" t="s">
        <v>266</v>
      </c>
      <c r="D2" s="23" t="s">
        <v>273</v>
      </c>
      <c r="E2" s="17"/>
      <c r="F2" s="17"/>
      <c r="G2" s="17"/>
      <c r="H2" s="17"/>
      <c r="I2" s="17"/>
      <c r="J2" s="17"/>
      <c r="K2" s="17"/>
      <c r="L2" s="17"/>
      <c r="M2" s="17"/>
      <c r="N2" s="17"/>
      <c r="O2" s="17"/>
      <c r="P2" s="17"/>
      <c r="Q2" s="17"/>
      <c r="R2" s="17"/>
      <c r="S2" s="17"/>
      <c r="T2" s="17"/>
      <c r="U2" s="17"/>
      <c r="V2" s="17"/>
      <c r="W2" s="17"/>
      <c r="X2" s="17"/>
    </row>
    <row r="3" spans="1:24" s="25" customFormat="1" x14ac:dyDescent="0.2">
      <c r="A3" s="38" t="s">
        <v>264</v>
      </c>
      <c r="B3" s="34">
        <v>2599007.64</v>
      </c>
      <c r="C3" s="38" t="s">
        <v>1</v>
      </c>
      <c r="D3" s="23" t="s">
        <v>273</v>
      </c>
    </row>
    <row r="4" spans="1:24" x14ac:dyDescent="0.2">
      <c r="A4" s="36" t="s">
        <v>157</v>
      </c>
      <c r="B4" s="33">
        <v>1070685.5300000003</v>
      </c>
      <c r="C4" s="40" t="s">
        <v>241</v>
      </c>
      <c r="D4" s="23" t="s">
        <v>273</v>
      </c>
      <c r="E4" s="17"/>
      <c r="F4" s="17"/>
      <c r="G4" s="17"/>
      <c r="H4" s="17"/>
      <c r="I4" s="17"/>
      <c r="J4" s="17"/>
      <c r="K4" s="17"/>
      <c r="L4" s="17"/>
      <c r="M4" s="17"/>
      <c r="N4" s="17"/>
      <c r="O4" s="17"/>
      <c r="P4" s="17"/>
      <c r="Q4" s="17"/>
      <c r="R4" s="17"/>
      <c r="S4" s="17"/>
      <c r="T4" s="17"/>
      <c r="U4" s="17"/>
      <c r="V4" s="17"/>
      <c r="W4" s="17"/>
      <c r="X4" s="17"/>
    </row>
    <row r="5" spans="1:24" x14ac:dyDescent="0.2">
      <c r="A5" s="39" t="s">
        <v>265</v>
      </c>
      <c r="B5" s="34">
        <v>20449995</v>
      </c>
      <c r="C5" s="40" t="s">
        <v>241</v>
      </c>
      <c r="D5" s="23" t="s">
        <v>273</v>
      </c>
    </row>
    <row r="6" spans="1:24" s="26" customFormat="1" x14ac:dyDescent="0.2">
      <c r="A6" s="37" t="s">
        <v>263</v>
      </c>
      <c r="B6" s="35">
        <v>7916710.6799999997</v>
      </c>
      <c r="C6" s="37" t="s">
        <v>268</v>
      </c>
      <c r="D6" s="23" t="s">
        <v>273</v>
      </c>
    </row>
    <row r="7" spans="1:24" x14ac:dyDescent="0.2">
      <c r="A7" s="39" t="s">
        <v>275</v>
      </c>
      <c r="B7" s="34">
        <v>3069247.71</v>
      </c>
      <c r="C7" s="39" t="s">
        <v>268</v>
      </c>
      <c r="D7" s="23" t="s">
        <v>273</v>
      </c>
    </row>
    <row r="8" spans="1:24" x14ac:dyDescent="0.2">
      <c r="A8" s="39" t="s">
        <v>276</v>
      </c>
      <c r="B8" s="34">
        <v>2203270.2599999998</v>
      </c>
      <c r="C8" s="39" t="s">
        <v>268</v>
      </c>
      <c r="D8" s="23" t="s">
        <v>273</v>
      </c>
    </row>
    <row r="9" spans="1:24" x14ac:dyDescent="0.2">
      <c r="A9" s="39" t="s">
        <v>277</v>
      </c>
      <c r="B9" s="34">
        <v>7199537.9800000004</v>
      </c>
      <c r="C9" s="39" t="s">
        <v>268</v>
      </c>
      <c r="D9" s="23" t="s">
        <v>273</v>
      </c>
    </row>
    <row r="10" spans="1:24" x14ac:dyDescent="0.2">
      <c r="A10" s="39" t="s">
        <v>246</v>
      </c>
      <c r="B10" s="34">
        <v>2054708</v>
      </c>
      <c r="C10" s="39" t="s">
        <v>268</v>
      </c>
      <c r="D10" s="23" t="s">
        <v>273</v>
      </c>
    </row>
    <row r="11" spans="1:24" x14ac:dyDescent="0.2">
      <c r="A11" s="39" t="s">
        <v>269</v>
      </c>
      <c r="B11" s="34">
        <v>2522800</v>
      </c>
      <c r="C11" s="39" t="s">
        <v>270</v>
      </c>
      <c r="D11" s="23" t="s">
        <v>274</v>
      </c>
    </row>
    <row r="12" spans="1:24" x14ac:dyDescent="0.2">
      <c r="A12" s="39" t="s">
        <v>271</v>
      </c>
      <c r="B12" s="34">
        <v>1030000</v>
      </c>
      <c r="C12" s="39" t="s">
        <v>1</v>
      </c>
      <c r="D12" s="23" t="s">
        <v>274</v>
      </c>
    </row>
    <row r="13" spans="1:24" x14ac:dyDescent="0.2">
      <c r="A13" s="39" t="s">
        <v>278</v>
      </c>
      <c r="B13" s="34">
        <v>3925732.4799999995</v>
      </c>
      <c r="C13" s="39" t="s">
        <v>280</v>
      </c>
      <c r="D13" s="23" t="s">
        <v>274</v>
      </c>
    </row>
    <row r="14" spans="1:24" x14ac:dyDescent="0.2">
      <c r="A14" s="39" t="s">
        <v>279</v>
      </c>
      <c r="B14" s="34">
        <v>66104275.470000014</v>
      </c>
      <c r="C14" s="39" t="s">
        <v>280</v>
      </c>
      <c r="D14" s="23" t="s">
        <v>274</v>
      </c>
    </row>
    <row r="15" spans="1:24" x14ac:dyDescent="0.2">
      <c r="B15" s="34">
        <f>SUM(B2:B14)</f>
        <v>128493450.23000002</v>
      </c>
      <c r="D15" s="23"/>
    </row>
    <row r="16" spans="1:24" x14ac:dyDescent="0.2">
      <c r="D16" s="23"/>
    </row>
    <row r="17" spans="1:4" x14ac:dyDescent="0.2">
      <c r="A17" s="39" t="s">
        <v>283</v>
      </c>
      <c r="B17" s="34">
        <f>SUM(B2:B5)</f>
        <v>32467167.65000001</v>
      </c>
    </row>
    <row r="18" spans="1:4" x14ac:dyDescent="0.2">
      <c r="A18" s="39" t="s">
        <v>281</v>
      </c>
      <c r="B18" s="34">
        <f>SUM(B6:B10)</f>
        <v>22443474.630000003</v>
      </c>
      <c r="D18" s="23"/>
    </row>
    <row r="19" spans="1:4" x14ac:dyDescent="0.2">
      <c r="A19" s="39" t="s">
        <v>282</v>
      </c>
      <c r="B19" s="34">
        <f>SUM(B11:B14)</f>
        <v>73582807.950000018</v>
      </c>
    </row>
    <row r="20" spans="1:4" x14ac:dyDescent="0.2">
      <c r="B20" s="34">
        <f>SUM(B17:B19)</f>
        <v>128493450.23000003</v>
      </c>
    </row>
    <row r="22" spans="1:4" x14ac:dyDescent="0.2">
      <c r="A22" s="45" t="s">
        <v>304</v>
      </c>
    </row>
    <row r="23" spans="1:4" x14ac:dyDescent="0.2">
      <c r="A23" s="39" t="s">
        <v>305</v>
      </c>
      <c r="B23" s="34">
        <f>'PosxSchpostCouncil 22'!L122</f>
        <v>818315</v>
      </c>
    </row>
    <row r="24" spans="1:4" x14ac:dyDescent="0.2">
      <c r="A24" s="39" t="s">
        <v>331</v>
      </c>
      <c r="B24" s="34">
        <v>19991325</v>
      </c>
    </row>
    <row r="25" spans="1:4" x14ac:dyDescent="0.2">
      <c r="A25" s="39" t="s">
        <v>330</v>
      </c>
      <c r="B25" s="34">
        <f>SUM('PosxSchpostCouncil 22'!CS122:CU122)</f>
        <v>3105000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3315C-7120-4D1D-BFB1-AA0D9D9F7502}">
  <dimension ref="A1:M143"/>
  <sheetViews>
    <sheetView workbookViewId="0">
      <selection activeCell="B4" sqref="B4"/>
    </sheetView>
  </sheetViews>
  <sheetFormatPr defaultRowHeight="12.75" x14ac:dyDescent="0.2"/>
  <cols>
    <col min="1" max="1" width="21.83203125" customWidth="1"/>
    <col min="2" max="4" width="16.83203125" customWidth="1"/>
    <col min="5" max="5" width="12.33203125" customWidth="1"/>
    <col min="6" max="6" width="14" customWidth="1"/>
    <col min="7" max="7" width="13" customWidth="1"/>
    <col min="9" max="9" width="10.5" style="29" customWidth="1"/>
    <col min="10" max="10" width="13.83203125" customWidth="1"/>
    <col min="12" max="12" width="10.5" style="29" bestFit="1" customWidth="1"/>
    <col min="15" max="15" width="11.6640625" bestFit="1" customWidth="1"/>
    <col min="16" max="16" width="10.83203125" customWidth="1"/>
    <col min="17" max="17" width="10.5" bestFit="1" customWidth="1"/>
    <col min="18" max="18" width="10.5" customWidth="1"/>
    <col min="19" max="21" width="10.5" bestFit="1" customWidth="1"/>
    <col min="22" max="22" width="11.1640625" customWidth="1"/>
    <col min="23" max="24" width="10.5" bestFit="1" customWidth="1"/>
    <col min="36" max="44" width="10.5" customWidth="1"/>
    <col min="45" max="45" width="10" bestFit="1" customWidth="1"/>
    <col min="46" max="46" width="10" customWidth="1"/>
    <col min="47" max="48" width="10" bestFit="1" customWidth="1"/>
    <col min="50" max="51" width="10" bestFit="1" customWidth="1"/>
    <col min="53" max="54" width="10" bestFit="1" customWidth="1"/>
    <col min="56" max="56" width="11.5" bestFit="1" customWidth="1"/>
  </cols>
  <sheetData>
    <row r="1" spans="1:13" s="11" customFormat="1" ht="25.5" x14ac:dyDescent="0.2">
      <c r="A1" s="46" t="s">
        <v>307</v>
      </c>
      <c r="B1" s="46" t="s">
        <v>352</v>
      </c>
      <c r="C1" s="46" t="s">
        <v>357</v>
      </c>
      <c r="D1" s="46"/>
      <c r="I1" s="47"/>
      <c r="J1" s="48"/>
      <c r="L1" s="47"/>
    </row>
    <row r="2" spans="1:13" x14ac:dyDescent="0.2">
      <c r="A2" t="s">
        <v>308</v>
      </c>
      <c r="B2">
        <v>25</v>
      </c>
      <c r="C2">
        <v>2</v>
      </c>
      <c r="J2" s="1"/>
    </row>
    <row r="3" spans="1:13" x14ac:dyDescent="0.2">
      <c r="A3" t="s">
        <v>309</v>
      </c>
      <c r="B3">
        <v>25</v>
      </c>
      <c r="C3">
        <v>2</v>
      </c>
      <c r="J3" s="1"/>
    </row>
    <row r="4" spans="1:13" x14ac:dyDescent="0.2">
      <c r="A4" t="s">
        <v>353</v>
      </c>
      <c r="B4">
        <v>13</v>
      </c>
      <c r="C4">
        <v>3</v>
      </c>
      <c r="J4" s="1"/>
    </row>
    <row r="5" spans="1:13" x14ac:dyDescent="0.2">
      <c r="A5" t="s">
        <v>311</v>
      </c>
      <c r="J5" s="31"/>
      <c r="M5" s="31"/>
    </row>
    <row r="6" spans="1:13" x14ac:dyDescent="0.2">
      <c r="J6" s="31"/>
      <c r="M6" s="31"/>
    </row>
    <row r="7" spans="1:13" x14ac:dyDescent="0.2">
      <c r="A7" t="s">
        <v>312</v>
      </c>
      <c r="B7" t="s">
        <v>315</v>
      </c>
      <c r="C7" s="49" t="s">
        <v>316</v>
      </c>
      <c r="D7" s="49" t="s">
        <v>317</v>
      </c>
      <c r="H7" s="27"/>
      <c r="I7" s="30"/>
      <c r="J7" s="28"/>
      <c r="L7" s="30"/>
    </row>
    <row r="8" spans="1:13" x14ac:dyDescent="0.2">
      <c r="A8" t="s">
        <v>308</v>
      </c>
      <c r="B8" t="s">
        <v>313</v>
      </c>
      <c r="C8" t="s">
        <v>325</v>
      </c>
      <c r="D8" t="s">
        <v>326</v>
      </c>
      <c r="H8" s="27"/>
      <c r="I8" s="30"/>
      <c r="J8" s="28"/>
      <c r="L8" s="31"/>
    </row>
    <row r="9" spans="1:13" x14ac:dyDescent="0.2">
      <c r="A9" t="s">
        <v>309</v>
      </c>
      <c r="B9" t="s">
        <v>313</v>
      </c>
      <c r="C9" t="s">
        <v>325</v>
      </c>
      <c r="D9" t="s">
        <v>326</v>
      </c>
      <c r="H9" s="27"/>
      <c r="I9" s="30"/>
      <c r="J9" s="28"/>
      <c r="L9" s="30"/>
    </row>
    <row r="10" spans="1:13" x14ac:dyDescent="0.2">
      <c r="A10" t="s">
        <v>310</v>
      </c>
      <c r="H10" s="27"/>
      <c r="I10" s="30"/>
      <c r="J10" s="28"/>
      <c r="L10" s="30"/>
    </row>
    <row r="11" spans="1:13" x14ac:dyDescent="0.2">
      <c r="A11" t="s">
        <v>320</v>
      </c>
      <c r="B11" t="s">
        <v>321</v>
      </c>
      <c r="C11" t="s">
        <v>322</v>
      </c>
      <c r="D11" t="s">
        <v>326</v>
      </c>
      <c r="H11" s="27"/>
      <c r="I11" s="30"/>
      <c r="J11" s="28"/>
      <c r="L11" s="30"/>
    </row>
    <row r="12" spans="1:13" x14ac:dyDescent="0.2">
      <c r="A12" t="s">
        <v>318</v>
      </c>
      <c r="B12" t="s">
        <v>314</v>
      </c>
      <c r="C12" t="s">
        <v>319</v>
      </c>
      <c r="D12" t="s">
        <v>327</v>
      </c>
      <c r="H12" s="27"/>
      <c r="I12" s="30"/>
      <c r="J12" s="28"/>
      <c r="L12" s="30"/>
    </row>
    <row r="13" spans="1:13" x14ac:dyDescent="0.2">
      <c r="A13" t="s">
        <v>323</v>
      </c>
      <c r="B13" t="s">
        <v>324</v>
      </c>
      <c r="C13" t="s">
        <v>329</v>
      </c>
      <c r="D13" t="s">
        <v>328</v>
      </c>
      <c r="H13" s="27"/>
      <c r="I13" s="30"/>
      <c r="J13" s="28"/>
      <c r="L13" s="30"/>
    </row>
    <row r="14" spans="1:13" x14ac:dyDescent="0.2">
      <c r="I14" s="30"/>
      <c r="J14" s="28"/>
      <c r="L14" s="30"/>
    </row>
    <row r="15" spans="1:13" x14ac:dyDescent="0.2">
      <c r="B15">
        <v>42</v>
      </c>
      <c r="I15" s="30"/>
      <c r="J15" s="28"/>
      <c r="L15" s="30"/>
    </row>
    <row r="16" spans="1:13" x14ac:dyDescent="0.2">
      <c r="I16" s="30"/>
      <c r="J16" s="28"/>
      <c r="L16" s="30"/>
    </row>
    <row r="17" spans="10:10" x14ac:dyDescent="0.2">
      <c r="J17" s="28"/>
    </row>
    <row r="18" spans="10:10" x14ac:dyDescent="0.2">
      <c r="J18" s="28"/>
    </row>
    <row r="19" spans="10:10" x14ac:dyDescent="0.2">
      <c r="J19" s="28"/>
    </row>
    <row r="20" spans="10:10" x14ac:dyDescent="0.2">
      <c r="J20" s="28"/>
    </row>
    <row r="21" spans="10:10" x14ac:dyDescent="0.2">
      <c r="J21" s="28"/>
    </row>
    <row r="22" spans="10:10" x14ac:dyDescent="0.2">
      <c r="J22" s="28"/>
    </row>
    <row r="23" spans="10:10" x14ac:dyDescent="0.2">
      <c r="J23" s="28"/>
    </row>
    <row r="24" spans="10:10" x14ac:dyDescent="0.2">
      <c r="J24" s="28"/>
    </row>
    <row r="25" spans="10:10" x14ac:dyDescent="0.2">
      <c r="J25" s="28"/>
    </row>
    <row r="26" spans="10:10" x14ac:dyDescent="0.2">
      <c r="J26" s="28"/>
    </row>
    <row r="27" spans="10:10" x14ac:dyDescent="0.2">
      <c r="J27" s="28"/>
    </row>
    <row r="28" spans="10:10" x14ac:dyDescent="0.2">
      <c r="J28" s="28"/>
    </row>
    <row r="29" spans="10:10" x14ac:dyDescent="0.2">
      <c r="J29" s="28"/>
    </row>
    <row r="30" spans="10:10" x14ac:dyDescent="0.2">
      <c r="J30" s="28"/>
    </row>
    <row r="31" spans="10:10" x14ac:dyDescent="0.2">
      <c r="J31" s="28"/>
    </row>
    <row r="32" spans="10:10" x14ac:dyDescent="0.2">
      <c r="J32" s="28"/>
    </row>
    <row r="33" spans="10:10" x14ac:dyDescent="0.2">
      <c r="J33" s="28"/>
    </row>
    <row r="34" spans="10:10" x14ac:dyDescent="0.2">
      <c r="J34" s="28"/>
    </row>
    <row r="35" spans="10:10" x14ac:dyDescent="0.2">
      <c r="J35" s="28"/>
    </row>
    <row r="36" spans="10:10" x14ac:dyDescent="0.2">
      <c r="J36" s="28"/>
    </row>
    <row r="37" spans="10:10" x14ac:dyDescent="0.2">
      <c r="J37" s="28"/>
    </row>
    <row r="38" spans="10:10" x14ac:dyDescent="0.2">
      <c r="J38" s="28"/>
    </row>
    <row r="39" spans="10:10" x14ac:dyDescent="0.2">
      <c r="J39" s="28"/>
    </row>
    <row r="40" spans="10:10" x14ac:dyDescent="0.2">
      <c r="J40" s="28"/>
    </row>
    <row r="41" spans="10:10" x14ac:dyDescent="0.2">
      <c r="J41" s="28"/>
    </row>
    <row r="42" spans="10:10" x14ac:dyDescent="0.2">
      <c r="J42" s="28"/>
    </row>
    <row r="43" spans="10:10" x14ac:dyDescent="0.2">
      <c r="J43" s="28"/>
    </row>
    <row r="44" spans="10:10" x14ac:dyDescent="0.2">
      <c r="J44" s="28"/>
    </row>
    <row r="45" spans="10:10" x14ac:dyDescent="0.2">
      <c r="J45" s="28"/>
    </row>
    <row r="46" spans="10:10" x14ac:dyDescent="0.2">
      <c r="J46" s="28"/>
    </row>
    <row r="47" spans="10:10" x14ac:dyDescent="0.2">
      <c r="J47" s="28"/>
    </row>
    <row r="48" spans="10:10" x14ac:dyDescent="0.2">
      <c r="J48" s="28"/>
    </row>
    <row r="49" spans="10:10" x14ac:dyDescent="0.2">
      <c r="J49" s="28"/>
    </row>
    <row r="50" spans="10:10" x14ac:dyDescent="0.2">
      <c r="J50" s="28"/>
    </row>
    <row r="51" spans="10:10" x14ac:dyDescent="0.2">
      <c r="J51" s="28"/>
    </row>
    <row r="52" spans="10:10" x14ac:dyDescent="0.2">
      <c r="J52" s="28"/>
    </row>
    <row r="53" spans="10:10" x14ac:dyDescent="0.2">
      <c r="J53" s="28"/>
    </row>
    <row r="54" spans="10:10" x14ac:dyDescent="0.2">
      <c r="J54" s="28"/>
    </row>
    <row r="55" spans="10:10" x14ac:dyDescent="0.2">
      <c r="J55" s="28"/>
    </row>
    <row r="56" spans="10:10" x14ac:dyDescent="0.2">
      <c r="J56" s="28"/>
    </row>
    <row r="57" spans="10:10" x14ac:dyDescent="0.2">
      <c r="J57" s="28"/>
    </row>
    <row r="58" spans="10:10" x14ac:dyDescent="0.2">
      <c r="J58" s="28"/>
    </row>
    <row r="59" spans="10:10" x14ac:dyDescent="0.2">
      <c r="J59" s="28"/>
    </row>
    <row r="60" spans="10:10" x14ac:dyDescent="0.2">
      <c r="J60" s="28"/>
    </row>
    <row r="61" spans="10:10" x14ac:dyDescent="0.2">
      <c r="J61" s="28"/>
    </row>
    <row r="62" spans="10:10" x14ac:dyDescent="0.2">
      <c r="J62" s="28"/>
    </row>
    <row r="63" spans="10:10" x14ac:dyDescent="0.2">
      <c r="J63" s="28"/>
    </row>
    <row r="64" spans="10:10" x14ac:dyDescent="0.2">
      <c r="J64" s="28"/>
    </row>
    <row r="65" spans="10:10" x14ac:dyDescent="0.2">
      <c r="J65" s="28"/>
    </row>
    <row r="66" spans="10:10" x14ac:dyDescent="0.2">
      <c r="J66" s="28"/>
    </row>
    <row r="67" spans="10:10" x14ac:dyDescent="0.2">
      <c r="J67" s="28"/>
    </row>
    <row r="68" spans="10:10" x14ac:dyDescent="0.2">
      <c r="J68" s="28"/>
    </row>
    <row r="69" spans="10:10" x14ac:dyDescent="0.2">
      <c r="J69" s="28"/>
    </row>
    <row r="70" spans="10:10" x14ac:dyDescent="0.2">
      <c r="J70" s="28"/>
    </row>
    <row r="71" spans="10:10" x14ac:dyDescent="0.2">
      <c r="J71" s="28"/>
    </row>
    <row r="72" spans="10:10" x14ac:dyDescent="0.2">
      <c r="J72" s="28"/>
    </row>
    <row r="73" spans="10:10" x14ac:dyDescent="0.2">
      <c r="J73" s="28"/>
    </row>
    <row r="74" spans="10:10" x14ac:dyDescent="0.2">
      <c r="J74" s="28"/>
    </row>
    <row r="75" spans="10:10" x14ac:dyDescent="0.2">
      <c r="J75" s="28"/>
    </row>
    <row r="76" spans="10:10" x14ac:dyDescent="0.2">
      <c r="J76" s="28"/>
    </row>
    <row r="77" spans="10:10" x14ac:dyDescent="0.2">
      <c r="J77" s="28"/>
    </row>
    <row r="78" spans="10:10" x14ac:dyDescent="0.2">
      <c r="J78" s="28"/>
    </row>
    <row r="79" spans="10:10" x14ac:dyDescent="0.2">
      <c r="J79" s="28"/>
    </row>
    <row r="80" spans="10:10" x14ac:dyDescent="0.2">
      <c r="J80" s="28"/>
    </row>
    <row r="81" spans="10:10" x14ac:dyDescent="0.2">
      <c r="J81" s="28"/>
    </row>
    <row r="82" spans="10:10" x14ac:dyDescent="0.2">
      <c r="J82" s="28"/>
    </row>
    <row r="83" spans="10:10" x14ac:dyDescent="0.2">
      <c r="J83" s="28"/>
    </row>
    <row r="84" spans="10:10" x14ac:dyDescent="0.2">
      <c r="J84" s="28"/>
    </row>
    <row r="85" spans="10:10" x14ac:dyDescent="0.2">
      <c r="J85" s="28"/>
    </row>
    <row r="86" spans="10:10" x14ac:dyDescent="0.2">
      <c r="J86" s="28"/>
    </row>
    <row r="87" spans="10:10" x14ac:dyDescent="0.2">
      <c r="J87" s="28"/>
    </row>
    <row r="88" spans="10:10" x14ac:dyDescent="0.2">
      <c r="J88" s="28"/>
    </row>
    <row r="89" spans="10:10" x14ac:dyDescent="0.2">
      <c r="J89" s="28"/>
    </row>
    <row r="90" spans="10:10" x14ac:dyDescent="0.2">
      <c r="J90" s="28"/>
    </row>
    <row r="91" spans="10:10" x14ac:dyDescent="0.2">
      <c r="J91" s="28"/>
    </row>
    <row r="92" spans="10:10" x14ac:dyDescent="0.2">
      <c r="J92" s="28"/>
    </row>
    <row r="93" spans="10:10" x14ac:dyDescent="0.2">
      <c r="J93" s="28"/>
    </row>
    <row r="94" spans="10:10" x14ac:dyDescent="0.2">
      <c r="J94" s="28"/>
    </row>
    <row r="95" spans="10:10" x14ac:dyDescent="0.2">
      <c r="J95" s="28"/>
    </row>
    <row r="96" spans="10:10" x14ac:dyDescent="0.2">
      <c r="J96" s="28"/>
    </row>
    <row r="97" spans="10:10" x14ac:dyDescent="0.2">
      <c r="J97" s="28"/>
    </row>
    <row r="98" spans="10:10" x14ac:dyDescent="0.2">
      <c r="J98" s="28"/>
    </row>
    <row r="99" spans="10:10" x14ac:dyDescent="0.2">
      <c r="J99" s="28"/>
    </row>
    <row r="100" spans="10:10" x14ac:dyDescent="0.2">
      <c r="J100" s="28"/>
    </row>
    <row r="101" spans="10:10" x14ac:dyDescent="0.2">
      <c r="J101" s="28"/>
    </row>
    <row r="102" spans="10:10" x14ac:dyDescent="0.2">
      <c r="J102" s="28"/>
    </row>
    <row r="103" spans="10:10" x14ac:dyDescent="0.2">
      <c r="J103" s="28"/>
    </row>
    <row r="104" spans="10:10" x14ac:dyDescent="0.2">
      <c r="J104" s="28"/>
    </row>
    <row r="105" spans="10:10" x14ac:dyDescent="0.2">
      <c r="J105" s="28"/>
    </row>
    <row r="106" spans="10:10" x14ac:dyDescent="0.2">
      <c r="J106" s="28"/>
    </row>
    <row r="107" spans="10:10" x14ac:dyDescent="0.2">
      <c r="J107" s="28"/>
    </row>
    <row r="108" spans="10:10" x14ac:dyDescent="0.2">
      <c r="J108" s="28"/>
    </row>
    <row r="109" spans="10:10" x14ac:dyDescent="0.2">
      <c r="J109" s="28"/>
    </row>
    <row r="110" spans="10:10" x14ac:dyDescent="0.2">
      <c r="J110" s="28"/>
    </row>
    <row r="111" spans="10:10" x14ac:dyDescent="0.2">
      <c r="J111" s="28"/>
    </row>
    <row r="112" spans="10:10" x14ac:dyDescent="0.2">
      <c r="J112" s="28"/>
    </row>
    <row r="113" spans="10:10" x14ac:dyDescent="0.2">
      <c r="J113" s="28"/>
    </row>
    <row r="114" spans="10:10" x14ac:dyDescent="0.2">
      <c r="J114" s="28"/>
    </row>
    <row r="115" spans="10:10" x14ac:dyDescent="0.2">
      <c r="J115" s="28"/>
    </row>
    <row r="116" spans="10:10" x14ac:dyDescent="0.2">
      <c r="J116" s="28"/>
    </row>
    <row r="117" spans="10:10" x14ac:dyDescent="0.2">
      <c r="J117" s="28"/>
    </row>
    <row r="118" spans="10:10" x14ac:dyDescent="0.2">
      <c r="J118" s="28"/>
    </row>
    <row r="119" spans="10:10" x14ac:dyDescent="0.2">
      <c r="J119" s="28"/>
    </row>
    <row r="120" spans="10:10" x14ac:dyDescent="0.2">
      <c r="J120" s="28"/>
    </row>
    <row r="121" spans="10:10" x14ac:dyDescent="0.2">
      <c r="J121" s="28"/>
    </row>
    <row r="122" spans="10:10" x14ac:dyDescent="0.2">
      <c r="J122" s="28"/>
    </row>
    <row r="123" spans="10:10" x14ac:dyDescent="0.2">
      <c r="J123" s="28"/>
    </row>
    <row r="124" spans="10:10" x14ac:dyDescent="0.2">
      <c r="J124" s="28"/>
    </row>
    <row r="125" spans="10:10" x14ac:dyDescent="0.2">
      <c r="J125" s="28"/>
    </row>
    <row r="126" spans="10:10" x14ac:dyDescent="0.2">
      <c r="J126" s="28"/>
    </row>
    <row r="127" spans="10:10" x14ac:dyDescent="0.2">
      <c r="J127" s="28"/>
    </row>
    <row r="128" spans="10:10" x14ac:dyDescent="0.2">
      <c r="J128" s="28"/>
    </row>
    <row r="129" spans="10:10" x14ac:dyDescent="0.2">
      <c r="J129" s="28"/>
    </row>
    <row r="130" spans="10:10" x14ac:dyDescent="0.2">
      <c r="J130" s="28"/>
    </row>
    <row r="131" spans="10:10" x14ac:dyDescent="0.2">
      <c r="J131" s="28"/>
    </row>
    <row r="132" spans="10:10" x14ac:dyDescent="0.2">
      <c r="J132" s="28"/>
    </row>
    <row r="133" spans="10:10" x14ac:dyDescent="0.2">
      <c r="J133" s="28"/>
    </row>
    <row r="134" spans="10:10" x14ac:dyDescent="0.2">
      <c r="J134" s="28"/>
    </row>
    <row r="135" spans="10:10" x14ac:dyDescent="0.2">
      <c r="J135" s="28"/>
    </row>
    <row r="136" spans="10:10" x14ac:dyDescent="0.2">
      <c r="J136" s="28"/>
    </row>
    <row r="137" spans="10:10" x14ac:dyDescent="0.2">
      <c r="J137" s="28"/>
    </row>
    <row r="138" spans="10:10" x14ac:dyDescent="0.2">
      <c r="J138" s="28"/>
    </row>
    <row r="139" spans="10:10" x14ac:dyDescent="0.2">
      <c r="J139" s="28"/>
    </row>
    <row r="140" spans="10:10" x14ac:dyDescent="0.2">
      <c r="J140" s="28"/>
    </row>
    <row r="141" spans="10:10" x14ac:dyDescent="0.2">
      <c r="J141" s="28"/>
    </row>
    <row r="142" spans="10:10" x14ac:dyDescent="0.2">
      <c r="J142" s="28"/>
    </row>
    <row r="143" spans="10:10" x14ac:dyDescent="0.2">
      <c r="J143"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Est gen ed 23 $$</vt:lpstr>
      <vt:lpstr>Est gen ed 23 pos</vt:lpstr>
      <vt:lpstr>PosxSchpostCouncil 22</vt:lpstr>
      <vt:lpstr>$$xSchpostCouncil 22</vt:lpstr>
      <vt:lpstr>Gen ed tchrs</vt:lpstr>
      <vt:lpstr>Prog grants</vt:lpstr>
      <vt:lpstr>ArtsHPE</vt:lpstr>
      <vt:lpstr>'$$xSchpostCouncil 22'!_FilterDatabase</vt:lpstr>
      <vt:lpstr>'PosxSchpostCouncil 22'!_FilterDatabase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dc:creator>
  <cp:lastModifiedBy>Mary</cp:lastModifiedBy>
  <dcterms:created xsi:type="dcterms:W3CDTF">2022-02-06T22:43:01Z</dcterms:created>
  <dcterms:modified xsi:type="dcterms:W3CDTF">2022-03-18T20:36:41Z</dcterms:modified>
</cp:coreProperties>
</file>